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32767" windowWidth="28800" windowHeight="1186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<sst xmlns="http://schemas.openxmlformats.org/spreadsheetml/2006/main" count="3854" uniqueCount="3023">
  <si>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</si>
  <si>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</si>
  <si>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</si>
  <si>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</si>
  <si>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</si>
  <si>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</si>
  <si>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</si>
  <si>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</si>
  <si>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</si>
  <si>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</si>
  <si>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</si>
  <si>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</si>
  <si>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</si>
  <si>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</si>
  <si>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</si>
  <si>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</si>
  <si>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</si>
  <si>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</si>
  <si>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</si>
  <si>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</si>
  <si>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</si>
  <si>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</si>
  <si>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</si>
  <si>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</si>
  <si>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</si>
  <si>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</si>
  <si>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</si>
  <si>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</si>
  <si>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</si>
  <si>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</si>
  <si>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</si>
  <si>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</si>
  <si>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</si>
  <si>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</si>
  <si>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</si>
  <si>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</si>
  <si>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</si>
  <si>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</si>
  <si>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</si>
  <si>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</si>
  <si>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</si>
  <si>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</si>
  <si>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</si>
  <si>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</si>
  <si>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</si>
  <si>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</si>
  <si>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</si>
  <si>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</si>
  <si>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</si>
  <si>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</si>
  <si>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</si>
  <si>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</si>
  <si>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</si>
  <si>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</si>
  <si>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</si>
  <si>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</si>
  <si>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</si>
  <si>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</si>
  <si>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</si>
  <si>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</si>
  <si>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</si>
  <si>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</si>
  <si>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</si>
  <si>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</si>
  <si>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</si>
  <si>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</si>
  <si>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</si>
  <si>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</si>
  <si>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</si>
  <si>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</si>
  <si>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</si>
  <si>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</si>
  <si>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</si>
  <si>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</si>
  <si>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</si>
  <si>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</si>
  <si>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</si>
  <si>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</si>
  <si>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</si>
  <si>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</si>
  <si>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</si>
  <si>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</si>
  <si>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</si>
  <si>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</si>
  <si>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</si>
  <si>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</si>
  <si>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</si>
  <si>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</si>
  <si>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</si>
  <si>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</si>
  <si>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</si>
  <si>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</si>
  <si>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</si>
  <si>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</si>
  <si>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</si>
  <si>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</si>
  <si>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</si>
  <si>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</si>
  <si>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</si>
  <si>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</si>
  <si>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</si>
  <si>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</si>
  <si>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</si>
  <si>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</si>
  <si>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</si>
  <si>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</si>
  <si>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</si>
  <si>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</si>
  <si>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</si>
  <si>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</si>
  <si>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</si>
  <si>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</si>
  <si>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</si>
  <si>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</si>
  <si>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</si>
  <si>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</si>
  <si>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</si>
  <si>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</si>
  <si>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</si>
  <si>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</si>
  <si>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</si>
  <si>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</si>
  <si>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</si>
  <si>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</si>
  <si>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</si>
  <si>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</si>
  <si>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</si>
  <si>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</si>
  <si>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</si>
  <si>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</si>
  <si>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</si>
  <si>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</si>
  <si>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</si>
  <si>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</si>
  <si>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</si>
  <si>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</si>
  <si>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</si>
  <si>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</si>
  <si>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</si>
  <si>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</si>
  <si>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</si>
  <si>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</si>
  <si>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</si>
  <si>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</si>
  <si>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</si>
  <si>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</si>
  <si>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</si>
  <si>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</si>
  <si>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</si>
  <si>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</si>
  <si>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</si>
  <si>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</si>
  <si>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</si>
  <si>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</si>
  <si>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</si>
  <si>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</si>
  <si>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</si>
  <si>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</si>
  <si>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</si>
  <si>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</si>
  <si>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</si>
  <si>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</si>
  <si>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</si>
  <si>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</si>
  <si>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</si>
  <si>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</si>
  <si>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</si>
  <si>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</si>
  <si>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</si>
  <si>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</si>
  <si>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</si>
  <si>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</si>
  <si>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</si>
  <si>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</si>
  <si>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</si>
  <si>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</si>
  <si>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</si>
  <si>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</si>
  <si>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</si>
  <si>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</si>
  <si>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</si>
  <si>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</si>
  <si>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</si>
  <si>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</si>
  <si>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</si>
  <si>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</si>
  <si>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</si>
  <si>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</si>
  <si>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</si>
  <si>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</si>
  <si>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</si>
  <si>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</si>
  <si>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</si>
  <si>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</si>
  <si>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</si>
  <si>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</si>
  <si>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</si>
  <si>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</si>
  <si>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</si>
  <si>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</si>
  <si>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</si>
  <si>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</si>
  <si>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</si>
  <si>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</si>
  <si>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</si>
  <si>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</si>
  <si>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</si>
  <si>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</si>
  <si>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</si>
  <si>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</si>
  <si>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</si>
  <si>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</si>
  <si>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</si>
  <si>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</si>
  <si>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</si>
  <si>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</si>
  <si>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</si>
  <si>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</si>
  <si>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</si>
  <si>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</si>
  <si>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</si>
  <si>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</si>
  <si>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</si>
  <si>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</si>
  <si>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</si>
  <si>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</si>
  <si>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</si>
  <si>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</si>
  <si>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</si>
  <si>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</si>
  <si>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</si>
  <si>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</si>
  <si>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</si>
  <si>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</si>
  <si>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</si>
  <si>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</si>
  <si>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</si>
  <si>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</si>
  <si>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</si>
  <si>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</si>
  <si>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</si>
  <si>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</si>
  <si>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</si>
  <si>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</si>
  <si>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</si>
  <si>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</si>
  <si>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</si>
  <si>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</si>
  <si>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</si>
  <si>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</si>
  <si>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</si>
  <si>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</si>
  <si>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</si>
  <si>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</si>
  <si>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</si>
  <si>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</si>
  <si>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</si>
  <si>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</si>
  <si>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</si>
  <si>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</si>
  <si>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</si>
  <si>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</si>
  <si>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</si>
  <si>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</si>
  <si>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</si>
  <si>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</si>
  <si>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</si>
  <si>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</si>
  <si>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</si>
  <si>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</si>
  <si>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</si>
  <si>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</si>
  <si>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</si>
  <si>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</si>
  <si>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</si>
  <si>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</si>
  <si>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</si>
  <si>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</si>
  <si>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</si>
  <si>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</si>
  <si>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</si>
  <si>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</si>
  <si>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</si>
  <si>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</si>
  <si>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</si>
  <si>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</si>
  <si>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</si>
  <si>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</si>
  <si>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</si>
  <si>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</si>
  <si>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</si>
  <si>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</si>
  <si>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</si>
  <si>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</si>
  <si>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</si>
  <si>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</si>
  <si>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</si>
  <si>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</si>
  <si>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</si>
  <si>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</si>
  <si>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</si>
  <si>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</si>
  <si>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</si>
  <si>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</si>
  <si>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</si>
  <si>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</si>
  <si>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</si>
  <si>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</si>
  <si>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</si>
  <si>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</si>
  <si>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</si>
  <si>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</si>
  <si>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</si>
  <si>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</si>
  <si>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</si>
  <si>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</si>
  <si>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</si>
  <si>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</si>
  <si>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</si>
  <si>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</si>
  <si>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</si>
  <si>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</si>
  <si>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</si>
  <si>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</si>
  <si>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</si>
  <si>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</si>
  <si>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</si>
  <si>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</si>
  <si>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</si>
  <si>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</si>
  <si>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</si>
  <si>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</si>
  <si>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</si>
  <si>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</si>
  <si>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</si>
  <si>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</si>
  <si>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</si>
  <si>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</si>
  <si>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</si>
  <si>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</si>
  <si>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</si>
  <si>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</si>
  <si>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</si>
  <si>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</si>
  <si>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</si>
  <si>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</si>
  <si>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</si>
  <si>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</si>
  <si>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</si>
  <si>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</si>
  <si>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</si>
  <si>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</si>
  <si>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</si>
  <si>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</si>
  <si>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</si>
  <si>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</si>
  <si>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</si>
  <si>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</si>
  <si>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</si>
  <si>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</si>
  <si>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</si>
  <si>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</si>
  <si>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</si>
  <si>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</si>
  <si>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</si>
  <si>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</si>
  <si>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</si>
  <si>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</si>
  <si>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</si>
  <si>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</si>
  <si>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</si>
  <si>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</si>
  <si>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</si>
  <si>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</si>
  <si>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</si>
  <si>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</si>
  <si>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</si>
  <si>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</si>
  <si>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</si>
  <si>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</si>
  <si>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</si>
  <si>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</si>
  <si>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</si>
  <si>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</si>
  <si>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</si>
  <si>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</si>
  <si>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</si>
  <si>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</si>
  <si>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</si>
  <si>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</si>
  <si>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</si>
  <si>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</si>
  <si>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</si>
  <si>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</si>
  <si>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</si>
  <si>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</si>
  <si>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</si>
  <si>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</si>
  <si>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</si>
  <si>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</si>
  <si>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</si>
  <si>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</si>
  <si>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</si>
  <si>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</si>
  <si>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</si>
  <si>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</si>
  <si>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</si>
  <si>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</si>
  <si>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</si>
  <si>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</si>
  <si>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</si>
  <si>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</si>
  <si>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</si>
  <si>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</si>
  <si>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</si>
  <si>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</si>
  <si>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</si>
  <si>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</si>
  <si>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</si>
  <si>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</si>
  <si>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</si>
  <si>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</si>
  <si>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</si>
  <si>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</si>
  <si>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</si>
  <si>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</si>
  <si>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</si>
  <si>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</si>
  <si>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</si>
  <si>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</si>
  <si>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</si>
  <si>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</si>
  <si>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</si>
  <si>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</si>
  <si>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</si>
  <si>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</si>
  <si>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</si>
  <si>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</si>
  <si>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</si>
  <si>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</si>
  <si>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</si>
  <si>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</si>
  <si>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</si>
  <si>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</si>
  <si>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</si>
  <si>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</si>
  <si>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</si>
  <si>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</si>
  <si>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</si>
  <si>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</si>
  <si>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</si>
  <si>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</si>
  <si>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</si>
  <si>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</si>
  <si>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</si>
  <si>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</si>
  <si>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</si>
  <si>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</si>
  <si>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</si>
  <si>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</si>
  <si>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</si>
  <si>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</si>
  <si>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</si>
  <si>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</si>
  <si>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</si>
  <si>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</si>
  <si>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</si>
  <si>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</si>
  <si>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</si>
  <si>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</si>
  <si>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</si>
  <si>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</si>
  <si>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</si>
  <si>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</si>
  <si>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</si>
  <si>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</si>
  <si>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</si>
  <si>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</si>
  <si>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</si>
  <si>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</si>
  <si>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</si>
  <si>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</si>
  <si>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</si>
  <si>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</si>
  <si>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</si>
  <si>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</si>
  <si>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</si>
  <si>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</si>
  <si>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</si>
  <si>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</si>
  <si>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</si>
  <si>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</si>
  <si>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</si>
  <si>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</si>
  <si>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</si>
  <si>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</si>
  <si>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</si>
  <si>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</si>
  <si>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</si>
  <si>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</si>
  <si>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</si>
  <si>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</si>
  <si>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</si>
  <si>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</si>
  <si>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</si>
  <si>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</si>
  <si>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</si>
  <si>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</si>
  <si>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</si>
  <si>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</si>
  <si>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</si>
  <si>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</si>
  <si>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</si>
  <si>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</si>
  <si>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</si>
  <si>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</si>
  <si>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</si>
  <si>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</si>
  <si>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</si>
  <si>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</si>
  <si>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</si>
  <si>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</si>
  <si>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</si>
  <si>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</si>
  <si>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</si>
  <si>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</si>
  <si>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</si>
  <si>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</si>
  <si>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</si>
  <si>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</si>
  <si>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</si>
  <si>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</si>
  <si>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</si>
  <si>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</si>
  <si>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</si>
  <si>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</si>
  <si>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</si>
  <si>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</si>
  <si>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</si>
  <si>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</si>
  <si>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</si>
  <si>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</si>
  <si>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</si>
  <si>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</si>
  <si>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</si>
  <si>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</si>
  <si>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</si>
  <si>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</si>
  <si>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</si>
  <si>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</si>
  <si>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</si>
  <si>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</si>
  <si>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</si>
  <si>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</si>
  <si>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</si>
  <si>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</si>
  <si>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</si>
  <si>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</si>
  <si>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</si>
  <si>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</si>
  <si>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</si>
  <si>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</si>
  <si>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</si>
  <si>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</si>
  <si>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</si>
  <si>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</si>
  <si>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</si>
  <si>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</si>
  <si>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</si>
  <si>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</si>
  <si>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</si>
  <si>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</si>
  <si>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</si>
  <si>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</si>
  <si>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</si>
  <si>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</si>
  <si>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</si>
  <si>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</si>
  <si>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</si>
  <si>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</si>
  <si>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</si>
  <si>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</si>
  <si>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</si>
  <si>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</si>
  <si>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</si>
  <si>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</si>
  <si>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</si>
  <si>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</si>
  <si>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</si>
  <si>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</si>
  <si>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</si>
  <si>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</si>
  <si>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</si>
  <si>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</si>
  <si>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</si>
  <si>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</si>
  <si>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</si>
  <si>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</si>
  <si>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</si>
  <si>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</si>
  <si>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</si>
  <si>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</si>
  <si>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</si>
  <si>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</si>
  <si>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</si>
  <si>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</si>
  <si>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</si>
  <si>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</si>
  <si>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</si>
  <si>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</si>
  <si>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</si>
  <si>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</si>
  <si>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</si>
  <si>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</si>
  <si>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</si>
  <si>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</si>
  <si>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</si>
  <si>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</si>
  <si>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</si>
  <si>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</si>
  <si>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</si>
  <si>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</si>
  <si>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</si>
  <si>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</si>
  <si>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</si>
  <si>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</si>
  <si>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</si>
  <si>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</si>
  <si>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</si>
  <si>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</si>
  <si>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</si>
  <si>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</si>
  <si>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</si>
  <si>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</si>
  <si>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</si>
  <si>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</si>
  <si>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</si>
  <si>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</si>
  <si>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</si>
  <si>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</si>
  <si>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</si>
  <si>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</si>
  <si>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</si>
  <si>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</si>
  <si>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</si>
  <si>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</si>
  <si>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</si>
  <si>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</si>
  <si>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</si>
  <si>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</si>
  <si>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</si>
  <si>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</si>
  <si>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</si>
  <si>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</si>
  <si>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</si>
  <si>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</si>
  <si>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</si>
  <si>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</si>
  <si>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</si>
  <si>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</si>
  <si>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</si>
  <si>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</si>
  <si>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</si>
  <si>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</si>
  <si>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</si>
  <si>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</si>
  <si>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</si>
  <si>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</si>
  <si>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</si>
  <si>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</si>
  <si>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</si>
  <si>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</si>
  <si>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</si>
  <si>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</si>
  <si>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</si>
  <si>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</si>
  <si>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</si>
  <si>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</si>
  <si>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</si>
  <si>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</si>
  <si>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</si>
  <si>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</si>
  <si>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</si>
  <si>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</si>
  <si>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</si>
  <si>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</si>
  <si>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</si>
  <si>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</si>
  <si>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</si>
  <si>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</si>
  <si>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</si>
  <si>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</si>
  <si>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</si>
  <si>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</si>
  <si>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</si>
  <si>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</si>
  <si>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</si>
  <si>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</si>
  <si>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</si>
  <si>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</si>
  <si>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</si>
  <si>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</si>
  <si>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</si>
  <si>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</si>
  <si>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</si>
  <si>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</si>
  <si>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</si>
  <si>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</si>
  <si>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</si>
  <si>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</si>
  <si>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</si>
  <si>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</si>
  <si>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</si>
  <si>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</si>
  <si>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</si>
  <si>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</si>
  <si>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</si>
  <si>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</si>
  <si>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</si>
  <si>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</si>
  <si>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</si>
  <si>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</si>
  <si>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</si>
  <si>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</si>
  <si>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</si>
  <si>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</si>
  <si>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</si>
  <si>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</si>
  <si>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</si>
  <si>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</si>
  <si>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</si>
  <si>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</si>
  <si>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</si>
  <si>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</si>
  <si>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</si>
  <si>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</si>
  <si>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</si>
  <si>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</si>
  <si>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</si>
  <si>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</si>
  <si>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</si>
  <si>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</si>
  <si>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</si>
  <si>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</si>
  <si>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</si>
  <si>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</si>
  <si>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</si>
  <si>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</si>
  <si>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</si>
  <si>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</si>
  <si>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</si>
  <si>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</si>
  <si>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</si>
  <si>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</si>
  <si>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</si>
  <si>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</si>
  <si>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</si>
  <si>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</si>
  <si>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</si>
  <si>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</si>
  <si>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</si>
  <si>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</si>
  <si>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</si>
  <si>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</si>
  <si>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</si>
  <si>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</si>
  <si>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</si>
  <si>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</si>
  <si>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</si>
  <si>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</si>
  <si>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</si>
  <si>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</si>
  <si>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</si>
  <si>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</si>
  <si>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</si>
  <si>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</si>
  <si>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</si>
  <si>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</si>
  <si>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</si>
  <si>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</si>
  <si>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</si>
  <si>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</si>
  <si>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</si>
  <si>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</si>
  <si>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</si>
  <si>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</si>
  <si>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</si>
  <si>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</si>
  <si>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</si>
  <si>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</si>
  <si>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</si>
  <si>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</si>
  <si>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</si>
  <si>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</si>
  <si>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</si>
  <si>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</si>
  <si>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</si>
  <si>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</si>
  <si>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</si>
  <si>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</si>
  <si>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</si>
  <si>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</si>
  <si>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</si>
  <si>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</si>
  <si>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</si>
  <si>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</si>
  <si>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</si>
  <si>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</si>
  <si>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</si>
  <si>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</si>
  <si>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</si>
  <si>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</si>
  <si>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</si>
  <si>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</si>
  <si>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</si>
  <si>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</si>
  <si>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</si>
  <si>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</si>
  <si>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</si>
  <si>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</si>
  <si>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</si>
  <si>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</si>
  <si>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</si>
  <si>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</si>
  <si>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</si>
  <si>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</si>
  <si>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</si>
  <si>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</si>
  <si>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</si>
  <si>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</si>
  <si>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</si>
  <si>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</si>
  <si>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</si>
  <si>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</si>
  <si>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</si>
  <si>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</si>
  <si>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</si>
  <si>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</si>
  <si>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</si>
  <si>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</si>
  <si>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</si>
  <si>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</si>
  <si>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</si>
  <si>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</si>
  <si>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</si>
  <si>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</si>
  <si>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</si>
  <si>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</si>
  <si>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</si>
  <si>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</si>
  <si>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</si>
  <si>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</si>
  <si>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</si>
  <si>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</si>
  <si>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</si>
  <si>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</si>
  <si>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</si>
  <si>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</si>
  <si>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</si>
  <si>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</si>
  <si>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</si>
  <si>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</si>
  <si>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</si>
  <si>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</si>
  <si>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</si>
  <si>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</si>
  <si>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</si>
  <si>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</si>
  <si>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</si>
  <si>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</si>
  <si>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</si>
  <si>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</si>
  <si>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</si>
  <si>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</si>
  <si>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</si>
  <si>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</si>
  <si>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</si>
  <si>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</si>
  <si>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</si>
  <si>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</si>
  <si>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</si>
  <si>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</si>
  <si>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</si>
  <si>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</si>
  <si>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</si>
  <si>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</si>
  <si>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</si>
  <si>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</si>
  <si>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</si>
  <si>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</si>
  <si>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</si>
  <si>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</si>
  <si>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</si>
  <si>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</si>
  <si>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</si>
  <si>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</si>
  <si>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</si>
  <si>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</si>
  <si>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</si>
  <si>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</si>
  <si>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</si>
  <si>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</si>
  <si>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</si>
  <si>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</si>
  <si>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</si>
  <si>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</si>
  <si>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</si>
  <si>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</si>
  <si>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</si>
  <si>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</si>
  <si>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</si>
  <si>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</si>
  <si>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</si>
  <si>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</si>
  <si>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</si>
  <si>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</si>
  <si>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</si>
  <si>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</si>
  <si>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</si>
  <si>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</si>
  <si>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</si>
  <si>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</si>
  <si>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</si>
  <si>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</si>
  <si>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</si>
  <si>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</si>
  <si>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</si>
  <si>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</si>
  <si>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</si>
  <si>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</si>
  <si>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</si>
  <si>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</si>
  <si>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</si>
  <si>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</si>
  <si>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</si>
  <si>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</si>
  <si>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</si>
  <si>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</si>
  <si>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</si>
  <si>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</si>
  <si>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</si>
  <si>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</si>
  <si>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</si>
  <si>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</si>
  <si>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</si>
  <si>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</si>
  <si>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</si>
  <si>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</si>
  <si>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</si>
  <si>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</si>
  <si>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</si>
  <si>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</si>
  <si>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</si>
  <si>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</si>
  <si>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</si>
  <si>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</si>
  <si>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</si>
  <si>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</si>
  <si>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</si>
  <si>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</si>
  <si>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</si>
  <si>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</si>
  <si>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</si>
  <si>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</si>
  <si>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</si>
  <si>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</si>
  <si>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</si>
  <si>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</si>
  <si>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</si>
  <si>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</si>
  <si>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</si>
  <si>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</si>
  <si>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</si>
  <si>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</si>
  <si>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</si>
  <si>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</si>
  <si>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</si>
  <si>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</si>
  <si>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</si>
  <si>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</si>
  <si>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</si>
  <si>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</si>
  <si>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</si>
  <si>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</si>
  <si>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</si>
  <si>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</si>
  <si>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</si>
  <si>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</si>
  <si>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</si>
  <si>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</si>
  <si>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</si>
  <si>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</si>
  <si>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</si>
  <si>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</si>
  <si>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</si>
  <si>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</si>
  <si>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</si>
  <si>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</si>
  <si>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</si>
  <si>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</si>
  <si>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</si>
  <si>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</si>
  <si>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</si>
  <si>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</si>
  <si>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</si>
  <si>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</si>
  <si>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</si>
  <si>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</si>
  <si>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</si>
  <si>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</si>
  <si>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</si>
  <si>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</si>
  <si>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</si>
  <si>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</si>
  <si>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</si>
  <si>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</si>
  <si>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</si>
  <si>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</si>
  <si>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</si>
  <si>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</si>
  <si>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</si>
  <si>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</si>
  <si>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</si>
  <si>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</si>
  <si>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</si>
  <si>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</si>
  <si>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</si>
  <si>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</si>
  <si>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</si>
  <si>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</si>
  <si>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</si>
  <si>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</si>
  <si>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</si>
  <si>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</si>
  <si>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</si>
  <si>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</si>
  <si>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</si>
  <si>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</si>
  <si>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</si>
  <si>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</si>
  <si>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</si>
  <si>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</si>
  <si>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</si>
  <si>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</si>
  <si>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</si>
  <si>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</si>
  <si>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</si>
  <si>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</si>
  <si>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</si>
  <si>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</si>
  <si>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</si>
  <si>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</si>
  <si>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</si>
  <si>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</si>
  <si>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</si>
  <si>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</si>
  <si>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</si>
  <si>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</si>
  <si>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</si>
  <si>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</si>
  <si>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</si>
  <si>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</si>
  <si>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</si>
  <si>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</si>
  <si>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</si>
  <si>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</si>
  <si>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</si>
  <si>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</si>
  <si>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</si>
  <si>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</si>
  <si>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</si>
  <si>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</si>
  <si>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</si>
  <si>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</si>
  <si>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</si>
  <si>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</si>
  <si>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</si>
  <si>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</si>
  <si>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</si>
  <si>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</si>
  <si>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</si>
  <si>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</si>
  <si>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</si>
  <si>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</si>
  <si>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</si>
  <si>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</si>
  <si>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</si>
  <si>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</si>
  <si>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</si>
  <si>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</si>
  <si>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</si>
  <si>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</si>
  <si>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</si>
  <si>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</si>
  <si>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</si>
  <si>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</si>
  <si>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</si>
  <si>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</si>
  <si>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</si>
  <si>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</si>
  <si>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</si>
  <si>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</si>
  <si>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</si>
  <si>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</si>
  <si>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</si>
  <si>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</si>
  <si>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</si>
  <si>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</si>
  <si>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</si>
  <si>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</si>
  <si>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</si>
  <si>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</si>
  <si>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</si>
  <si>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</si>
  <si>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</si>
  <si>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</si>
  <si>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</si>
  <si>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</si>
  <si>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</si>
  <si>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</si>
  <si>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</si>
  <si>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</si>
  <si>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</si>
  <si>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</si>
  <si>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</si>
  <si>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</si>
  <si>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</si>
  <si>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</si>
  <si>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</si>
  <si>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</si>
  <si>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</si>
  <si>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</si>
  <si>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</si>
  <si>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</si>
  <si>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</si>
  <si>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</si>
  <si>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</si>
  <si>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</si>
  <si>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</si>
  <si>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</si>
  <si>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</si>
  <si>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</si>
  <si>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</si>
  <si>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</si>
  <si>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</si>
  <si>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</si>
  <si>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</si>
  <si>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</si>
  <si>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</si>
  <si>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</si>
  <si>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</si>
  <si>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</si>
  <si>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</si>
  <si>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</si>
  <si>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</si>
  <si>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</si>
  <si>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</si>
  <si>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</si>
  <si>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</si>
  <si>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</si>
  <si>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</si>
  <si>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</si>
  <si>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</si>
  <si>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</si>
  <si>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</si>
  <si>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</si>
  <si>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</si>
  <si>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</si>
  <si>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</si>
  <si>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</si>
  <si>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</si>
  <si>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</si>
  <si>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</si>
  <si>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</si>
  <si>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</si>
  <si>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</si>
  <si>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</si>
  <si>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</si>
  <si>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</si>
  <si>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</si>
  <si>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</si>
  <si>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</si>
  <si>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</si>
  <si>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</si>
  <si>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</si>
  <si>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</si>
  <si>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</si>
  <si>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</si>
  <si>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</si>
  <si>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</si>
  <si>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</si>
  <si>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</si>
  <si>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</si>
  <si>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</si>
  <si>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</si>
  <si>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</si>
  <si>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</si>
  <si>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</si>
  <si>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</si>
  <si>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</si>
  <si>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</si>
  <si>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</si>
  <si>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</si>
  <si>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</si>
  <si>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</si>
  <si>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</si>
  <si>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</si>
  <si>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</si>
  <si>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</si>
  <si>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</si>
  <si>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</si>
  <si>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</si>
  <si>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</si>
  <si>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</si>
  <si>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</si>
  <si>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</si>
  <si>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</si>
  <si>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</si>
  <si>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</si>
  <si>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</si>
  <si>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</si>
  <si>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</si>
  <si>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</si>
  <si>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</si>
  <si>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</si>
  <si>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</si>
  <si>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</si>
  <si>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</si>
  <si>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</si>
  <si>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</si>
  <si>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</si>
  <si>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</si>
  <si>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</si>
  <si>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</si>
  <si>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</si>
  <si>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</si>
  <si>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</si>
  <si>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</si>
  <si>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</si>
  <si>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</si>
  <si>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</si>
  <si>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</si>
  <si>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</si>
  <si>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</si>
  <si>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</si>
  <si>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</si>
  <si>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</si>
  <si>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</si>
  <si>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</si>
  <si>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</si>
  <si>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</si>
  <si>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</si>
  <si>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</si>
  <si>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</si>
  <si>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</si>
  <si>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</si>
  <si>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</si>
  <si>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</si>
  <si>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</si>
  <si>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</si>
  <si>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</si>
  <si>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</si>
  <si>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</si>
  <si>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</si>
  <si>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</si>
  <si>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</si>
  <si>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</si>
  <si>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</si>
  <si>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</si>
  <si>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</si>
  <si>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</si>
  <si>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</si>
  <si>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</si>
  <si>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</si>
  <si>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</si>
  <si>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</si>
  <si>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</si>
  <si>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</si>
  <si>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</si>
  <si>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</si>
  <si>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</si>
  <si>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</si>
  <si>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</si>
  <si>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</si>
  <si>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</si>
  <si>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</si>
  <si>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</si>
  <si>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</si>
  <si>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</si>
  <si>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</si>
  <si>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</si>
  <si>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</si>
  <si>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</si>
  <si>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</si>
  <si>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</si>
  <si>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</si>
  <si>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</si>
  <si>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</si>
  <si>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</si>
  <si>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</si>
  <si>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</si>
  <si>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</si>
  <si>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</si>
  <si>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</si>
  <si>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</si>
  <si>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</si>
  <si>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</si>
  <si>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</si>
  <si>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</si>
  <si>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</si>
  <si>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</si>
  <si>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</si>
  <si>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</si>
  <si>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</si>
  <si>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</si>
  <si>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</si>
  <si>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</si>
  <si>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</si>
  <si>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</si>
  <si>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</si>
  <si>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</si>
  <si>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</si>
  <si>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</si>
  <si>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</si>
  <si>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</si>
  <si>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</si>
  <si>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</si>
  <si>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</si>
  <si>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</si>
  <si>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</si>
  <si>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</si>
  <si>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</si>
  <si>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</si>
  <si>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</si>
  <si>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</si>
  <si>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</si>
  <si>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</si>
  <si>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</si>
  <si>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</si>
  <si>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</si>
  <si>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</si>
  <si>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</si>
  <si>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</si>
  <si>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</si>
  <si>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</si>
  <si>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</si>
  <si>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</si>
  <si>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</si>
  <si>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</si>
  <si>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</si>
  <si>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</si>
  <si>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</si>
  <si>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</si>
  <si>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</si>
  <si>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</si>
  <si>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</si>
  <si>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</si>
  <si>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</si>
  <si>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</si>
  <si>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</si>
  <si>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</si>
  <si>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</si>
  <si>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</si>
  <si>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</si>
  <si>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</si>
  <si>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</si>
  <si>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</si>
  <si>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</si>
  <si>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</si>
  <si>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</si>
  <si>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</si>
  <si>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</si>
  <si>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</si>
  <si>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</si>
  <si>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</si>
  <si>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</si>
  <si>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</si>
  <si>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</si>
  <si>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</si>
  <si>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</si>
  <si>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</si>
  <si>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</si>
  <si>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</si>
  <si>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</si>
  <si>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</si>
  <si>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</si>
  <si>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</si>
  <si>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</si>
  <si>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</si>
  <si>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</si>
  <si>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</si>
  <si>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</si>
  <si>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</si>
  <si>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</si>
  <si>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</si>
  <si>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</si>
  <si>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</si>
  <si>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</si>
  <si>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</si>
  <si>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</si>
  <si>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</si>
  <si>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</si>
  <si>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</si>
  <si>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</si>
  <si>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</si>
  <si>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</si>
  <si>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</si>
  <si>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</si>
  <si>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</si>
  <si>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</si>
  <si>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</si>
  <si>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</si>
  <si>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</si>
  <si>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</si>
  <si>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</si>
  <si>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</si>
  <si>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</si>
  <si>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</si>
  <si>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</si>
  <si>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</si>
  <si>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</si>
  <si>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</si>
  <si>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</si>
  <si>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</si>
  <si>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</si>
  <si>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</si>
  <si>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</si>
  <si>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</si>
  <si>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</si>
  <si>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</si>
  <si>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</si>
  <si>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</si>
  <si>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</si>
  <si>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</si>
  <si>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</si>
  <si>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</si>
  <si>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</si>
  <si>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</si>
  <si>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</si>
  <si>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</si>
  <si>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</si>
  <si>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</si>
  <si>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</si>
  <si>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</si>
  <si>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</si>
  <si>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</si>
  <si>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</si>
  <si>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</si>
  <si>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</si>
  <si>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</si>
  <si>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</si>
  <si>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</si>
  <si>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</si>
  <si>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</si>
  <si>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</si>
  <si>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</si>
  <si>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</si>
  <si>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</si>
  <si>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</si>
  <si>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</si>
  <si>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</si>
  <si>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</si>
  <si>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</si>
  <si>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</si>
  <si>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</si>
  <si>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</si>
  <si>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</si>
  <si>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</si>
  <si>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</si>
  <si>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</si>
  <si>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</si>
  <si>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</si>
  <si>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</si>
  <si>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</si>
  <si>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</si>
  <si>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</si>
  <si>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</si>
  <si>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</si>
  <si>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</si>
  <si>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</si>
  <si>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</si>
  <si>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</si>
  <si>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</si>
  <si>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</si>
  <si>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</si>
  <si>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</si>
  <si>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</si>
  <si>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</si>
  <si>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</si>
  <si>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</si>
  <si>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</si>
  <si>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</si>
  <si>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</si>
  <si>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</si>
  <si>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</si>
  <si>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</si>
  <si>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</si>
  <si>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</si>
  <si>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</si>
  <si>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</si>
  <si>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</si>
  <si>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</si>
  <si>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</si>
  <si>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</si>
  <si>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</si>
  <si>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</si>
  <si>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</si>
  <si>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</si>
  <si>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</si>
  <si>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</si>
  <si>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</si>
  <si>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</si>
  <si>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</si>
  <si>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</si>
  <si>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</si>
  <si>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</si>
  <si>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</si>
  <si>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</si>
  <si>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</si>
  <si>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</si>
  <si>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</si>
  <si>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</si>
  <si>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</si>
  <si>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</si>
  <si>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</si>
  <si>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</si>
  <si>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</si>
  <si>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</si>
  <si>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</si>
  <si>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</si>
  <si>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</si>
  <si>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</si>
  <si>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</si>
  <si>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</si>
  <si>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</si>
  <si>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</si>
  <si>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</si>
  <si>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</si>
  <si>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</si>
  <si>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</si>
  <si>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</si>
  <si>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</si>
  <si>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</si>
  <si>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</si>
  <si>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</si>
  <si>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</si>
  <si>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</si>
  <si>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</si>
  <si>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</si>
  <si>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</si>
  <si>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</si>
  <si>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</si>
  <si>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</si>
  <si>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</si>
  <si>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</si>
  <si>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</si>
  <si>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</si>
  <si>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</si>
  <si>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</si>
  <si>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</si>
  <si>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</si>
  <si>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</si>
  <si>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</si>
  <si>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</si>
  <si>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</si>
  <si>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</si>
  <si>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</si>
  <si>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</si>
  <si>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</si>
  <si>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</si>
  <si>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</si>
  <si>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</si>
  <si>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</si>
  <si>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</si>
  <si>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</si>
  <si>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</si>
  <si>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</si>
  <si>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</si>
  <si>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</si>
  <si>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</si>
  <si>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</si>
  <si>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</si>
  <si>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</si>
  <si>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</si>
  <si>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</si>
  <si>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</si>
  <si>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</si>
  <si>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</si>
  <si>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</si>
  <si>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</si>
  <si>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</si>
  <si>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</si>
  <si>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</si>
  <si>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</si>
  <si>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</si>
  <si>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</si>
  <si>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</si>
  <si>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</si>
  <si>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</si>
  <si>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</si>
  <si>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</si>
  <si>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</si>
  <si>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</si>
  <si>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</si>
  <si>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</si>
  <si>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</si>
  <si>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</si>
  <si>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</si>
  <si>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</si>
  <si>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</si>
  <si>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</si>
  <si>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</si>
  <si>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</si>
  <si>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</si>
  <si>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</si>
  <si>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</si>
  <si>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</si>
  <si>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</si>
  <si>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</si>
  <si>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</si>
  <si>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</si>
  <si>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</si>
  <si>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</si>
  <si>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</si>
  <si>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</si>
  <si>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</si>
  <si>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</si>
  <si>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</si>
  <si>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</si>
  <si>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</si>
  <si>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</si>
  <si>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</si>
  <si>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</si>
  <si>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</si>
  <si>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</si>
  <si>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</si>
  <si>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</si>
  <si>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</si>
  <si>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</si>
  <si>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</si>
  <si>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</si>
  <si>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</si>
  <si>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</si>
  <si>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</si>
  <si>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</si>
  <si>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</si>
  <si>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</si>
  <si>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</si>
  <si>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</si>
  <si>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</si>
  <si>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</si>
  <si>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</si>
  <si>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</si>
  <si>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</si>
  <si>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</si>
  <si>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</si>
  <si>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</si>
  <si>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</si>
  <si>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</si>
  <si>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</si>
  <si>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</si>
  <si>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</si>
  <si>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</si>
  <si>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</si>
  <si>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</si>
  <si>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</si>
  <si>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</si>
  <si>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</si>
  <si>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</si>
  <si>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</si>
  <si>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</si>
  <si>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</si>
  <si>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</si>
  <si>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</si>
  <si>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</si>
  <si>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</si>
  <si>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</si>
  <si>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</si>
  <si>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</si>
  <si>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</si>
  <si>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</si>
  <si>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</si>
  <si>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</si>
  <si>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</si>
  <si>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</si>
  <si>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</si>
  <si>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</si>
  <si>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</si>
  <si>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</si>
  <si>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</si>
  <si>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</si>
  <si>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</si>
  <si>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</si>
  <si>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</si>
  <si>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</si>
  <si>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</si>
  <si>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</si>
  <si>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</si>
  <si>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</si>
  <si>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</si>
  <si>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</si>
  <si>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</si>
  <si>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</si>
  <si>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</si>
  <si>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</si>
  <si>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</si>
  <si>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</si>
  <si>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</si>
  <si>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</si>
  <si>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</si>
  <si>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</si>
  <si>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</si>
  <si>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</si>
  <si>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</si>
  <si>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</si>
  <si>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</si>
  <si>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</si>
  <si>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</si>
  <si>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</si>
  <si>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</si>
  <si>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</si>
  <si>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</si>
  <si>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</si>
  <si>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</si>
  <si>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</si>
  <si>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</si>
  <si>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</si>
  <si>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</si>
  <si>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</si>
  <si>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</si>
  <si>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</si>
  <si>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</si>
  <si>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</si>
  <si>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</si>
  <si>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</si>
  <si>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</si>
  <si>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</si>
  <si>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</si>
  <si>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</si>
  <si>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</si>
  <si>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</si>
  <si>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</si>
  <si>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</si>
  <si>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</si>
  <si>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</si>
  <si>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</si>
  <si>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</si>
  <si>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</si>
  <si>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</si>
  <si>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</si>
  <si>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</si>
  <si>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</si>
  <si>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</si>
  <si>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</si>
  <si>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</si>
  <si>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</si>
  <si>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</si>
  <si>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</si>
  <si>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</si>
  <si>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</si>
  <si>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</si>
  <si>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</si>
  <si>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</si>
  <si>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</si>
  <si>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</si>
  <si>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</si>
  <si>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</si>
  <si>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</si>
  <si>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</si>
  <si>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</si>
  <si>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</si>
  <si>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</si>
  <si>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</si>
  <si>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</si>
  <si>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</si>
  <si>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</si>
  <si>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</si>
  <si>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</si>
  <si>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</si>
  <si>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</si>
  <si>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</si>
  <si>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</si>
  <si>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</si>
  <si>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</si>
  <si>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</si>
  <si>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</si>
  <si>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</si>
  <si>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</si>
  <si>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</si>
  <si>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</si>
  <si>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</si>
  <si>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</si>
  <si>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</si>
  <si>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</si>
  <si>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</si>
  <si>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</si>
  <si>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</si>
  <si>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</si>
  <si>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</si>
  <si>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</si>
  <si>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</si>
  <si>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</si>
  <si>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</si>
  <si>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</si>
  <si>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</si>
  <si>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</si>
  <si>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</si>
  <si>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</si>
  <si>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</si>
  <si>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</si>
  <si>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</si>
  <si>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</si>
  <si>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</si>
  <si>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</si>
  <si>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</si>
  <si>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</si>
  <si>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</si>
  <si>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</si>
  <si>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</si>
  <si>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</si>
  <si>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</si>
  <si>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</si>
  <si>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</si>
  <si>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</si>
  <si>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</si>
  <si>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</si>
  <si>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</si>
  <si>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</si>
  <si>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</si>
  <si>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</si>
  <si>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</si>
  <si>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</si>
  <si>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</si>
  <si>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</si>
  <si>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</si>
  <si>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</si>
  <si>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</si>
  <si>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</si>
  <si>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</si>
  <si>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</si>
  <si>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</si>
  <si>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</si>
  <si>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</si>
  <si>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</si>
  <si>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</si>
  <si>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</si>
  <si>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</si>
  <si>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</si>
  <si>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</si>
  <si>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</si>
  <si>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</si>
  <si>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</si>
  <si>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</si>
  <si>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</si>
  <si>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</si>
  <si>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</si>
  <si>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</si>
  <si>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</si>
  <si>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</si>
  <si>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</si>
  <si>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</si>
  <si>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</si>
  <si>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</si>
  <si>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</si>
  <si>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</si>
  <si>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</si>
  <si>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</si>
  <si>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</si>
  <si>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</si>
  <si>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</si>
  <si>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</si>
  <si>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</si>
  <si>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</si>
  <si>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</si>
  <si>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</si>
  <si>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</si>
  <si>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</si>
  <si>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</si>
  <si>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</si>
  <si>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</si>
  <si>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</si>
  <si>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</si>
  <si>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</si>
  <si>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</si>
  <si>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</si>
  <si>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</si>
  <si>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</si>
  <si>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</si>
  <si>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</si>
  <si>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</si>
  <si>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</si>
  <si>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</si>
  <si>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</si>
  <si>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</si>
  <si>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</si>
  <si>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</si>
  <si>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</si>
  <si>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</si>
  <si>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</si>
  <si>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</si>
  <si>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</si>
  <si>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</si>
  <si>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</si>
  <si>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</si>
  <si>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</si>
  <si>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</si>
  <si>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</si>
  <si>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</si>
  <si>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</si>
  <si>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</si>
  <si>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</si>
  <si>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</si>
  <si>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</si>
  <si>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</si>
  <si>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</si>
  <si>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</si>
  <si>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</si>
  <si>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</si>
  <si>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</si>
  <si>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</si>
  <si>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</si>
  <si>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</si>
  <si>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</si>
  <si>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</si>
  <si>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</si>
  <si>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</si>
  <si>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</si>
  <si>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</si>
  <si>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</si>
  <si>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</si>
  <si>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</si>
  <si>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</si>
  <si>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</si>
  <si>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</si>
  <si>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</si>
  <si>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</si>
  <si>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</si>
  <si>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</si>
  <si>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</si>
  <si>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</si>
  <si>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</si>
  <si>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</si>
  <si>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</si>
  <si>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</si>
  <si>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</si>
  <si>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</si>
  <si>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</si>
  <si>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</si>
  <si>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</si>
  <si>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</si>
  <si>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</si>
  <si>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</si>
  <si>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</si>
  <si>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</si>
  <si>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</si>
  <si>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</si>
  <si>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</si>
  <si>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</si>
  <si>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</si>
  <si>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</si>
  <si>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</si>
  <si>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</si>
  <si>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</si>
  <si>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</si>
  <si>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</si>
  <si>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</si>
  <si>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</si>
  <si>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</si>
  <si>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</si>
  <si>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</si>
  <si>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</si>
  <si>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</si>
  <si>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</si>
  <si>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</si>
  <si>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</si>
  <si>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</si>
  <si>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</si>
  <si>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</si>
  <si>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</si>
  <si>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</si>
  <si>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</si>
  <si>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</si>
  <si>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</si>
  <si>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</si>
  <si>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</si>
  <si>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</si>
  <si>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</si>
  <si>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</si>
  <si>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</si>
  <si>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</si>
  <si>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</si>
  <si>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</si>
  <si>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</si>
  <si>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</si>
  <si>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</si>
  <si>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</si>
  <si>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</si>
  <si>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</si>
  <si>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</si>
  <si>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</si>
  <si>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</si>
  <si>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</si>
  <si>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</si>
  <si>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</si>
  <si>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</si>
  <si>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</si>
  <si>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</si>
  <si>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</si>
  <si>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</si>
  <si>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</si>
  <si>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</si>
  <si>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</si>
  <si>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</si>
  <si>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</si>
  <si>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</si>
  <si>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</si>
  <si>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</si>
  <si>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</si>
  <si>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</si>
  <si>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</si>
  <si>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</si>
  <si>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</si>
  <si>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</si>
  <si>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</si>
  <si>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</si>
  <si>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</si>
  <si>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</si>
  <si>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</si>
  <si>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</si>
  <si>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</si>
  <si>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</si>
  <si>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</si>
  <si>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</si>
  <si>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</si>
  <si>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</si>
  <si>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</si>
  <si>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</si>
  <si>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</si>
  <si>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</si>
  <si>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</si>
  <si>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</si>
  <si>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</si>
  <si>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</si>
  <si>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</si>
  <si>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</si>
  <si>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</si>
  <si>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</si>
  <si>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</si>
  <si>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</si>
  <si>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</si>
  <si>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</si>
  <si>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</si>
  <si>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</si>
  <si>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</si>
  <si>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</si>
  <si>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</si>
  <si>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</si>
  <si>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</si>
  <si>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</si>
  <si>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</si>
  <si>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</si>
  <si>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</si>
  <si>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</si>
  <si>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</si>
  <si>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</si>
  <si>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</si>
  <si>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</si>
  <si>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</si>
  <si>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</si>
  <si>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</si>
  <si>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</si>
  <si>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</si>
  <si>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</si>
  <si>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</si>
  <si>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</si>
  <si>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</si>
  <si>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</si>
  <si>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</si>
  <si>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</si>
  <si>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</si>
  <si>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</si>
  <si>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</si>
  <si>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</si>
  <si>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</si>
  <si>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</si>
  <si>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</si>
  <si>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</si>
  <si>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</si>
  <si>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</si>
  <si>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</si>
  <si>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</si>
  <si>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</si>
  <si>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</si>
  <si>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</si>
  <si>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</si>
  <si>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</si>
  <si>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</si>
  <si>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</si>
  <si>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</si>
  <si>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</si>
  <si>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</si>
  <si>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</si>
  <si>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</si>
  <si>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</si>
  <si>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</si>
  <si>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</si>
  <si>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</si>
  <si>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</si>
  <si>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</si>
  <si>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</si>
  <si>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</si>
  <si>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</si>
  <si>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</si>
  <si>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</si>
  <si>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</si>
  <si>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</si>
  <si>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</si>
  <si>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</si>
  <si>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</si>
  <si>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</si>
  <si>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</si>
  <si>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</si>
  <si>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</si>
  <si>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</si>
  <si>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</si>
  <si>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</si>
  <si>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</si>
  <si>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</si>
  <si>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</si>
  <si>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</si>
  <si>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</si>
  <si>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</si>
  <si>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</si>
  <si>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</si>
  <si>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</si>
  <si>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</si>
  <si>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</si>
  <si>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</si>
  <si>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</si>
  <si>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</si>
  <si>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</si>
  <si>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</si>
  <si>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</si>
  <si>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</si>
  <si>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</si>
  <si>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</si>
  <si>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</si>
  <si>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</si>
  <si>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</si>
  <si>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</si>
  <si>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</si>
  <si>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</si>
  <si>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</si>
  <si>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</si>
  <si>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</si>
  <si>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</si>
  <si>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</si>
  <si>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</si>
  <si>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</si>
  <si>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</si>
  <si>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</si>
  <si>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</si>
  <si>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</si>
  <si>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</si>
  <si>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</si>
  <si>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</si>
  <si>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</si>
  <si>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</si>
  <si>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</si>
  <si>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</si>
  <si>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</si>
  <si>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</si>
  <si>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</si>
  <si>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</si>
  <si>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</si>
  <si>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</si>
  <si>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</si>
  <si>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</si>
  <si>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</si>
  <si>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</si>
  <si>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</si>
  <si>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</si>
  <si>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</si>
  <si>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</si>
  <si>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</si>
  <si>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</si>
  <si>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</si>
  <si>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</si>
  <si>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</si>
  <si>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</si>
  <si>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</si>
  <si>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</si>
  <si>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</si>
  <si>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</si>
  <si>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</si>
  <si>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</si>
  <si>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</si>
  <si>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</si>
  <si>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</si>
  <si>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</si>
  <si>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</si>
  <si>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</si>
  <si>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</si>
  <si>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</si>
  <si>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</si>
  <si>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</si>
  <si>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</si>
  <si>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</si>
  <si>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</si>
  <si>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</si>
  <si>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</si>
  <si>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</si>
  <si>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</si>
  <si>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</si>
  <si>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</si>
  <si>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</si>
  <si>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</si>
  <si>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</si>
  <si>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</si>
  <si>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</si>
  <si>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</si>
  <si>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</si>
  <si>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</si>
  <si>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</si>
  <si>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</si>
  <si>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</si>
  <si>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</si>
  <si>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</si>
  <si>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</si>
  <si>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</si>
  <si>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</si>
  <si>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</si>
  <si>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</si>
  <si>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</si>
  <si>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</si>
  <si>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</si>
  <si>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</si>
  <si>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</si>
  <si>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</si>
  <si>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</si>
  <si>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</si>
  <si>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</si>
  <si>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</si>
  <si>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</si>
  <si>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</si>
  <si>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</si>
  <si>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</si>
  <si>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</si>
  <si>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</si>
  <si>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</si>
  <si>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</si>
  <si>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</si>
  <si>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</si>
  <si>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</si>
  <si>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</si>
  <si>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</si>
  <si>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</si>
  <si>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</si>
  <si>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</si>
  <si>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</si>
  <si>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</si>
  <si>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</si>
  <si>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</si>
  <si>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</si>
  <si>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</si>
  <si>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</si>
  <si>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</si>
  <si>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</si>
  <si>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</si>
  <si>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</si>
  <si>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</si>
  <si>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</si>
  <si>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</si>
  <si>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</si>
  <si>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</si>
  <si>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</si>
  <si>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</si>
  <si>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</si>
  <si>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</si>
  <si>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</si>
  <si>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</si>
  <si>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</si>
  <si>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</si>
  <si>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</si>
  <si>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</si>
  <si>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</si>
  <si>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</si>
  <si>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</si>
  <si>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</si>
  <si>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</si>
  <si>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</si>
  <si>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</si>
  <si>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</si>
  <si>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</si>
  <si>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</si>
  <si>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</si>
  <si>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</si>
  <si>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</si>
  <si>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</si>
  <si>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</si>
  <si>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</si>
  <si>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</si>
  <si>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</si>
  <si>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</si>
  <si>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</si>
  <si>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</si>
  <si>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</si>
  <si>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</si>
  <si>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</si>
  <si>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</si>
  <si>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</si>
  <si>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</si>
  <si>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</si>
  <si>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</si>
  <si>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</si>
  <si>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</si>
  <si>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</si>
  <si>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</si>
  <si>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</si>
  <si>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</si>
  <si>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</si>
  <si>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</si>
  <si>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</si>
  <si>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</si>
  <si>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</si>
  <si>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</si>
  <si>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</si>
  <si>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</si>
  <si>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</si>
  <si>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</si>
  <si>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</si>
  <si>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</si>
  <si>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</si>
  <si>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</si>
  <si>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</si>
  <si>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</si>
  <si>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</si>
  <si>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</si>
  <si>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</si>
  <si>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</si>
  <si>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</si>
  <si>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</si>
  <si>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</si>
  <si>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</si>
  <si>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</si>
  <si>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</si>
  <si>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</si>
  <si>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</si>
  <si>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</si>
  <si>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</si>
  <si>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</si>
  <si>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</si>
  <si>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</si>
  <si>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</si>
  <si>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</si>
  <si>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</si>
  <si>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</si>
  <si>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</si>
  <si>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</si>
  <si>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</si>
  <si>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</si>
  <si>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</si>
  <si>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</si>
  <si>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</si>
  <si>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</si>
  <si>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</si>
  <si>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</si>
  <si>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</si>
  <si>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</si>
  <si>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</si>
  <si>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</si>
  <si>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</si>
  <si>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</si>
  <si>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</si>
  <si>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</si>
  <si>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</si>
  <si>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</si>
  <si>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</si>
  <si>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</si>
  <si>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</si>
  <si>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</si>
  <si>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</si>
  <si>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</si>
  <si>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</si>
  <si>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</si>
  <si>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</si>
  <si>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</si>
  <si>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</si>
  <si>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</si>
  <si>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</si>
  <si>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</si>
  <si>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</si>
  <si>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</si>
  <si>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</si>
  <si>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</si>
  <si>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</si>
  <si>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</si>
  <si>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</si>
  <si>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</si>
  <si>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</si>
  <si>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</si>
  <si>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</si>
  <si>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</si>
  <si>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</si>
  <si>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</si>
  <si>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</si>
  <si>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</si>
  <si>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</si>
  <si>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</si>
  <si>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</si>
  <si>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</si>
  <si>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</si>
  <si>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</si>
  <si>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</si>
  <si>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</si>
  <si>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</si>
  <si>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</si>
  <si>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</si>
  <si>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</si>
  <si>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</si>
  <si>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</si>
  <si>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</si>
  <si>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</si>
  <si>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</si>
  <si>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</si>
  <si>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</si>
  <si>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</si>
  <si>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</si>
  <si>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</si>
  <si>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</si>
  <si>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</si>
  <si>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</si>
  <si>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</si>
  <si>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</si>
  <si>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</si>
  <si>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</si>
  <si>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</si>
  <si>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</si>
  <si>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</si>
  <si>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</si>
  <si>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</si>
  <si>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</si>
  <si>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</si>
  <si>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</si>
  <si>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</si>
  <si>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</si>
  <si>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</si>
  <si>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</si>
  <si>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</si>
  <si>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</si>
  <si>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</si>
  <si>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</si>
  <si>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</si>
  <si>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</si>
  <si>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</si>
  <si>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</si>
  <si>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</si>
  <si>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</si>
  <si>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</si>
  <si>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</si>
  <si>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</si>
  <si>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</si>
  <si>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</si>
  <si>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</si>
  <si>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</si>
  <si>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</si>
  <si>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</si>
  <si>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</si>
  <si>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</si>
  <si>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</si>
  <si>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</si>
  <si>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</si>
  <si>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</si>
  <si>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</si>
  <si>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</si>
  <si>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</si>
  <si>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</si>
  <si>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</si>
  <si>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</si>
  <si>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</si>
  <si>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</si>
  <si>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</si>
  <si>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</si>
  <si>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</si>
  <si>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</si>
  <si>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</si>
  <si>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</si>
  <si>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</si>
  <si>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</si>
  <si>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</si>
  <si>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</si>
  <si>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</si>
  <si>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</si>
  <si>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</si>
  <si>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</si>
  <si>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</si>
  <si>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</si>
  <si>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</si>
  <si>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</si>
  <si>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</si>
  <si>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</si>
  <si>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</si>
  <si>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</si>
  <si>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</si>
  <si>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</si>
  <si>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</si>
  <si>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</si>
  <si>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</si>
  <si>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</si>
  <si>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</si>
  <si>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</si>
  <si>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</si>
  <si>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</si>
  <si>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</si>
  <si>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</si>
  <si>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</si>
  <si>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</si>
  <si>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</si>
  <si>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</si>
  <si>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</si>
  <si>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</si>
  <si>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</si>
  <si>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</si>
  <si>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</si>
  <si>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</si>
  <si>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</si>
  <si>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</si>
  <si>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</si>
  <si>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</si>
  <si>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</si>
  <si>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</si>
  <si>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</si>
  <si>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</si>
  <si>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</si>
  <si>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</si>
  <si>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</si>
  <si>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</si>
  <si>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</si>
  <si>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</si>
  <si>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</si>
  <si>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</si>
  <si>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</si>
  <si>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</si>
  <si>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</si>
  <si>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</si>
  <si>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</si>
  <si>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</si>
  <si>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</si>
  <si>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</si>
  <si>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</si>
  <si>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</si>
  <si>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</si>
  <si>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</si>
  <si>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</si>
  <si>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</si>
  <si>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</si>
  <si>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</si>
  <si>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</si>
  <si>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</si>
  <si>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</si>
  <si>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</si>
  <si>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</si>
  <si>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</si>
  <si>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</si>
  <si>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</si>
  <si>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</si>
  <si>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</si>
  <si>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</si>
  <si>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</si>
  <si>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</si>
  <si>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</si>
  <si>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</si>
  <si>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</si>
  <si>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</si>
  <si>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</si>
  <si>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</si>
  <si>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</si>
  <si>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</si>
  <si>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</si>
  <si>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</si>
  <si>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</si>
  <si>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</si>
  <si>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</si>
  <si>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</si>
  <si>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</si>
  <si>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</si>
  <si>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</si>
  <si>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</si>
  <si>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</si>
  <si>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</si>
  <si>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</si>
  <si>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</si>
  <si>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</si>
  <si>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</si>
  <si>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</si>
  <si>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</si>
  <si>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</si>
  <si>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</si>
  <si>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</si>
  <si>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</si>
  <si>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</si>
  <si>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</si>
  <si>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</si>
  <si>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</si>
  <si>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</si>
  <si>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</si>
  <si>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</si>
  <si>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</si>
  <si>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</si>
  <si>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</si>
  <si>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</si>
  <si>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</si>
  <si>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</si>
  <si>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</si>
  <si>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</si>
  <si>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</si>
  <si>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</si>
  <si>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</si>
  <si>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</si>
  <si>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</si>
  <si>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</si>
  <si>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</si>
  <si>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</si>
  <si>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</si>
  <si>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</si>
  <si>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</si>
  <si>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</si>
  <si>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</si>
  <si>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</si>
  <si>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</si>
  <si>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</si>
  <si>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</si>
  <si>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</si>
  <si>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</si>
  <si>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</si>
  <si>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</si>
  <si>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</si>
  <si>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</si>
  <si>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</si>
  <si>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</si>
  <si>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</si>
  <si>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</si>
  <si>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</si>
  <si>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</si>
  <si>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</si>
  <si>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</si>
  <si>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</si>
  <si>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</si>
  <si>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</si>
  <si>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</si>
  <si>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</si>
  <si>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</si>
  <si>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</si>
  <si>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</si>
  <si>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</si>
  <si>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</si>
  <si>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</si>
  <si>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</si>
  <si>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</si>
  <si>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</si>
  <si>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</si>
  <si>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</si>
  <si>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</si>
  <si>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</si>
  <si>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</si>
  <si>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</si>
  <si>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</si>
  <si>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</si>
  <si>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</si>
  <si>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</si>
  <si>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</si>
  <si>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</si>
  <si>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</si>
  <si>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</si>
  <si>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</si>
  <si>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</si>
  <si>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</si>
  <si>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</si>
  <si>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</si>
  <si>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</si>
  <si>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</si>
  <si>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</si>
  <si>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</si>
  <si>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</si>
  <si>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</si>
  <si>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</si>
  <si>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</si>
  <si>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</si>
  <si>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</si>
  <si>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</si>
  <si>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</si>
  <si>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</si>
  <si>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</si>
  <si>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</si>
  <si>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</si>
  <si>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</si>
  <si>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</si>
  <si>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</si>
  <si>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</si>
  <si>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</si>
  <si>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</si>
  <si>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</si>
  <si>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</si>
  <si>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</si>
  <si>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</si>
  <si>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</si>
  <si>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</si>
  <si>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</si>
  <si>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</si>
  <si>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</si>
  <si>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</si>
  <si>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</si>
  <si>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</si>
  <si>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</si>
  <si>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</si>
  <si>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</si>
  <si>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</si>
  <si>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</si>
  <si>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</si>
  <si>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</si>
  <si>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</si>
  <si>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</si>
  <si>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</si>
  <si>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</si>
  <si>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</si>
  <si>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</si>
  <si>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</si>
  <si>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</si>
  <si>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</si>
  <si>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</si>
  <si>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</si>
  <si>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</si>
  <si>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</si>
  <si>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</si>
  <si>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</si>
  <si>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</si>
  <si>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</si>
  <si>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</si>
  <si>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</si>
  <si>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</si>
  <si>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</si>
  <si>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</si>
  <si>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</si>
  <si>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</si>
  <si>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</si>
  <si>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</si>
  <si>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</si>
  <si>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</si>
  <si>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</si>
  <si>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</si>
  <si>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</si>
  <si>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</si>
  <si>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</si>
  <si>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</si>
  <si>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</si>
  <si>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</si>
  <si>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</si>
  <si>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</si>
  <si>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</si>
  <si>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</si>
  <si>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</si>
  <si>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</si>
  <si>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</si>
  <si>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</si>
  <si>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</si>
  <si>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</si>
  <si>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</si>
  <si>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</si>
  <si>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</si>
  <si>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</si>
  <si>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</si>
  <si>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</si>
  <si>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</si>
  <si>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</si>
  <si>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</si>
  <si>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</si>
  <si>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</si>
  <si>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</si>
  <si>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</si>
  <si>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</si>
  <si>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</si>
  <si>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</si>
  <si>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</si>
  <si>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</si>
  <si>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</si>
  <si>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</si>
  <si>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</si>
  <si>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</si>
  <si>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</si>
  <si>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</si>
  <si>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</si>
  <si>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</si>
  <si>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</si>
  <si>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</si>
  <si>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</si>
  <si>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</si>
  <si>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</si>
  <si>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</si>
  <si>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</si>
  <si>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</si>
  <si>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</si>
  <si>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</si>
  <si>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</si>
  <si>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</si>
  <si>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</si>
  <si>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</si>
  <si>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</si>
  <si>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</si>
  <si>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</si>
  <si>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</si>
  <si>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</si>
  <si>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</si>
  <si>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</si>
  <si>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</si>
  <si>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</si>
  <si>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</si>
  <si>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</si>
  <si>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</si>
  <si>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</si>
  <si>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</si>
  <si>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</si>
  <si>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</si>
  <si>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</si>
  <si>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</si>
  <si>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</si>
  <si>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</si>
  <si>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</si>
  <si>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</si>
  <si>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</si>
  <si>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</si>
  <si>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</si>
  <si>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</si>
  <si>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</si>
  <si>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</si>
  <si>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</si>
  <si>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</si>
  <si>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</si>
  <si>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</si>
  <si>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</si>
  <si>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</si>
  <si>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</si>
  <si>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</si>
  <si>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</si>
  <si>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</si>
  <si>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</si>
  <si>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</si>
  <si>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</si>
  <si>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</si>
  <si>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</si>
  <si>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</si>
  <si>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</si>
  <si>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</si>
  <si>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</si>
  <si>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</si>
  <si>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</si>
  <si>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</si>
  <si>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</si>
  <si>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</si>
  <si>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</si>
  <si>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</si>
  <si>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</si>
  <si>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</si>
  <si>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</si>
  <si>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</si>
  <si>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</si>
  <si>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</si>
  <si>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</si>
  <si>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</si>
  <si>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</si>
  <si>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</si>
  <si>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</si>
  <si>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</si>
  <si>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</si>
  <si>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</si>
  <si>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</si>
  <si>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</si>
  <si>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</si>
  <si>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</si>
  <si>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</si>
  <si>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</si>
  <si>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</si>
  <si>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</si>
  <si>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</si>
  <si>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</si>
  <si>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</si>
  <si>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</si>
  <si>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</si>
  <si>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</si>
  <si>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</si>
  <si>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</si>
  <si>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</si>
  <si>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</si>
  <si>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</si>
  <si>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</si>
  <si>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</si>
  <si>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</si>
  <si>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</si>
  <si>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</si>
  <si>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</si>
  <si>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</si>
  <si>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</si>
  <si>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</si>
  <si>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</si>
  <si>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</si>
  <si>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</si>
  <si>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</si>
  <si>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</si>
  <si>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</si>
  <si>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</si>
  <si>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</si>
  <si>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</si>
  <si>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</si>
  <si>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</si>
  <si>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</si>
  <si>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</si>
  <si>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</si>
  <si>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</si>
  <si>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</si>
  <si>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</si>
  <si>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</si>
  <si>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</si>
  <si>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</si>
  <si>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</si>
  <si>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</si>
  <si>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</si>
  <si>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</si>
  <si>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</si>
  <si>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</si>
  <si>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</si>
  <si>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</si>
  <si>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</si>
  <si>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</si>
  <si>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</si>
  <si>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</si>
  <si>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</si>
  <si>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</si>
  <si>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</si>
  <si>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</si>
  <si>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</si>
  <si>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</si>
  <si>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</si>
  <si>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</si>
  <si>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</si>
  <si>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</si>
  <si>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</si>
  <si>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</si>
  <si>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</si>
  <si>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</si>
  <si>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</si>
  <si>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</si>
  <si>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</si>
  <si>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</si>
  <si>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</si>
  <si>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</si>
  <si>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</si>
  <si>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</si>
  <si>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</si>
  <si>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</si>
  <si>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</si>
  <si>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</si>
  <si>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</si>
  <si>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</si>
  <si>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</si>
  <si>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</si>
  <si>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</si>
  <si>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</si>
  <si>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</si>
  <si>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</si>
  <si>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</si>
  <si>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</si>
  <si>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</si>
  <si>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</si>
  <si>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</si>
  <si>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</si>
  <si>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</si>
  <si>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</si>
  <si>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</si>
  <si>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</si>
  <si>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</si>
  <si>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</si>
  <si>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</si>
  <si>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</si>
  <si>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</si>
  <si>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99740428762</t>
  </si>
  <si>
    <t>04156510</t>
  </si>
  <si>
    <t>030141269</t>
  </si>
  <si>
    <t>KOMUNALAC POŽEGA d.o.o.</t>
  </si>
  <si>
    <t>POŽEGA</t>
  </si>
  <si>
    <t>VUKOVARSKA 8</t>
  </si>
  <si>
    <t>info@komunalac-pozega.hr</t>
  </si>
  <si>
    <t>www.komunalac-pozega.hr</t>
  </si>
  <si>
    <t>034/316-863</t>
  </si>
  <si>
    <t>MARIJANA PUNTARIĆ</t>
  </si>
  <si>
    <t>034-316-863</t>
  </si>
  <si>
    <t>marijana.puntaric@komunalac-pozega.hr</t>
  </si>
  <si>
    <t>DOMAGOJ LOVRIĆ mag. ing. mech.</t>
  </si>
  <si>
    <t>14</t>
  </si>
  <si>
    <t>21</t>
  </si>
  <si>
    <t>19</t>
  </si>
  <si>
    <t>18</t>
  </si>
  <si>
    <t>17</t>
  </si>
  <si>
    <t>22</t>
  </si>
  <si>
    <t>23</t>
  </si>
  <si>
    <t>24</t>
  </si>
  <si>
    <t>25</t>
  </si>
  <si>
    <t>26</t>
  </si>
  <si>
    <t>27</t>
  </si>
  <si>
    <t>28</t>
  </si>
  <si>
    <t>29</t>
  </si>
  <si>
    <t>4</t>
  </si>
  <si>
    <t>5</t>
  </si>
  <si>
    <t>6</t>
  </si>
  <si>
    <t>7</t>
  </si>
  <si>
    <t>8</t>
  </si>
  <si>
    <t>15</t>
  </si>
  <si>
    <t>9</t>
  </si>
  <si>
    <t>10</t>
  </si>
  <si>
    <t>11</t>
  </si>
  <si>
    <t>12</t>
  </si>
  <si>
    <t>13</t>
  </si>
  <si>
    <t>16</t>
  </si>
  <si>
    <t>30</t>
  </si>
  <si>
    <t>75897840685</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</si>
</sst>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t="str">
        <f>IF(Bilanca!H10=0,"",Bilanca!H10)</f>
        <v>14</v>
      </c>
      <c r="H3" s="26">
        <f>J3/100*F3+2*K3/100*F3</f>
        <v>1536108.54</v>
      </c>
      <c r="I3" s="27">
        <f>ABS(ROUND(J3,0)-J3)+ABS(ROUND(K3,0)-K3)</f>
        <v>0</v>
      </c>
      <c r="J3" s="27">
        <f>Bilanca!I10</f>
        <v>20925341</v>
      </c>
      <c r="K3" s="27">
        <f>Bilanca!J10</f>
        <v>27940043</v>
      </c>
    </row>
    <row r="4" spans="1:11" ht="12.75">
      <c r="A4" s="4" t="s">
        <v>2697</v>
      </c>
      <c r="B4" s="25" t="s">
        <v>364</v>
      </c>
      <c r="D4" s="4" t="s">
        <v>554</v>
      </c>
      <c r="E4" s="4">
        <v>1</v>
      </c>
      <c r="F4" s="4">
        <f>Bilanca!G11</f>
        <v>3</v>
      </c>
      <c r="G4" s="4" t="str">
        <f>IF(Bilanca!H11=0,"",Bilanca!H11)</f>
        <v>14</v>
      </c>
      <c r="H4" s="26">
        <f>J4/100*F4+2*K4/100*F4</f>
        <v>54887.04</v>
      </c>
      <c r="I4" s="27">
        <f>ABS(ROUND(J4,0)-J4)+ABS(ROUND(K4,0)-K4)</f>
        <v>0</v>
      </c>
      <c r="J4" s="27">
        <f>Bilanca!I11</f>
        <v>636062</v>
      </c>
      <c r="K4" s="27">
        <f>Bilanca!J11</f>
        <v>596753</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04156510</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030141269</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99740428762</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KOMUNALAC POŽEGA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34000</v>
      </c>
      <c r="D10" s="4" t="s">
        <v>554</v>
      </c>
      <c r="E10" s="4">
        <v>1</v>
      </c>
      <c r="F10" s="4">
        <f>Bilanca!G17</f>
        <v>9</v>
      </c>
      <c r="G10" s="4" t="str">
        <f>IF(Bilanca!H17=0,"",Bilanca!H17)</f>
        <v>14</v>
      </c>
      <c r="H10" s="26">
        <f t="shared" si="0"/>
        <v>164661.12</v>
      </c>
      <c r="I10" s="27">
        <f t="shared" si="1"/>
        <v>0</v>
      </c>
      <c r="J10" s="27">
        <f>Bilanca!I17</f>
        <v>636062</v>
      </c>
      <c r="K10" s="27">
        <f>Bilanca!J17</f>
        <v>596753</v>
      </c>
    </row>
    <row r="11" spans="1:11" ht="12.75">
      <c r="A11" s="4" t="s">
        <v>2737</v>
      </c>
      <c r="B11" s="25" t="str">
        <f>TRIM(RefStr!F31)</f>
        <v>POŽEGA</v>
      </c>
      <c r="D11" s="4" t="s">
        <v>554</v>
      </c>
      <c r="E11" s="4">
        <v>1</v>
      </c>
      <c r="F11" s="4">
        <f>Bilanca!G18</f>
        <v>10</v>
      </c>
      <c r="G11" s="4" t="str">
        <f>IF(Bilanca!H18=0,"",Bilanca!H18)</f>
        <v>14</v>
      </c>
      <c r="H11" s="26">
        <f t="shared" si="0"/>
        <v>7497585.9</v>
      </c>
      <c r="I11" s="27">
        <f t="shared" si="1"/>
        <v>0</v>
      </c>
      <c r="J11" s="27">
        <f>Bilanca!I18</f>
        <v>20289279</v>
      </c>
      <c r="K11" s="27">
        <f>Bilanca!J18</f>
        <v>27343290</v>
      </c>
    </row>
    <row r="12" spans="1:11" ht="12.75">
      <c r="A12" s="4" t="s">
        <v>2738</v>
      </c>
      <c r="B12" s="25" t="str">
        <f>TRIM(RefStr!C33)</f>
        <v>VUKOVARSKA 8</v>
      </c>
      <c r="D12" s="4" t="s">
        <v>554</v>
      </c>
      <c r="E12" s="4">
        <v>1</v>
      </c>
      <c r="F12" s="4">
        <f>Bilanca!G19</f>
        <v>11</v>
      </c>
      <c r="G12" s="4" t="str">
        <f>IF(Bilanca!H19=0,"",Bilanca!H19)</f>
        <v>14</v>
      </c>
      <c r="H12" s="26">
        <f t="shared" si="0"/>
        <v>1348186.29</v>
      </c>
      <c r="I12" s="27">
        <f t="shared" si="1"/>
        <v>0</v>
      </c>
      <c r="J12" s="27">
        <f>Bilanca!I19</f>
        <v>4085413</v>
      </c>
      <c r="K12" s="27">
        <f>Bilanca!J19</f>
        <v>4085413</v>
      </c>
    </row>
    <row r="13" spans="1:11" ht="12.75">
      <c r="A13" s="4" t="s">
        <v>2884</v>
      </c>
      <c r="B13" s="25" t="str">
        <f>TRIM(RefStr!C35)</f>
        <v>info@komunalac-pozega.hr</v>
      </c>
      <c r="D13" s="4" t="s">
        <v>554</v>
      </c>
      <c r="E13" s="4">
        <v>1</v>
      </c>
      <c r="F13" s="4">
        <f>Bilanca!G20</f>
        <v>12</v>
      </c>
      <c r="G13" s="4" t="str">
        <f>IF(Bilanca!H20=0,"",Bilanca!H20)</f>
        <v>14</v>
      </c>
      <c r="H13" s="26">
        <f t="shared" si="0"/>
        <v>4115869.08</v>
      </c>
      <c r="I13" s="27">
        <f t="shared" si="1"/>
        <v>0</v>
      </c>
      <c r="J13" s="27">
        <f>Bilanca!I20</f>
        <v>12327969</v>
      </c>
      <c r="K13" s="27">
        <f>Bilanca!J20</f>
        <v>10985470</v>
      </c>
    </row>
    <row r="14" spans="1:11" ht="12.75">
      <c r="A14" s="4" t="s">
        <v>2885</v>
      </c>
      <c r="B14" s="25" t="str">
        <f>TRIM(RefStr!C37)</f>
        <v>www.komunalac-pozega.hr</v>
      </c>
      <c r="D14" s="4" t="s">
        <v>554</v>
      </c>
      <c r="E14" s="4">
        <v>1</v>
      </c>
      <c r="F14" s="4">
        <f>Bilanca!G21</f>
        <v>13</v>
      </c>
      <c r="G14" s="4" t="str">
        <f>IF(Bilanca!H21=0,"",Bilanca!H21)</f>
        <v>14</v>
      </c>
      <c r="H14" s="26">
        <f t="shared" si="0"/>
        <v>463141.12000000005</v>
      </c>
      <c r="I14" s="27">
        <f t="shared" si="1"/>
        <v>0</v>
      </c>
      <c r="J14" s="27">
        <f>Bilanca!I21</f>
        <v>463016</v>
      </c>
      <c r="K14" s="27">
        <f>Bilanca!J21</f>
        <v>1549804</v>
      </c>
    </row>
    <row r="15" spans="1:11" ht="12.75">
      <c r="A15" s="4" t="s">
        <v>2741</v>
      </c>
      <c r="B15" s="25" t="str">
        <f>TEXT(RefStr!J39,"00")</f>
        <v>11</v>
      </c>
      <c r="D15" s="4" t="s">
        <v>554</v>
      </c>
      <c r="E15" s="4">
        <v>1</v>
      </c>
      <c r="F15" s="4">
        <f>Bilanca!G22</f>
        <v>14</v>
      </c>
      <c r="G15" s="4" t="str">
        <f>IF(Bilanca!H22=0,"",Bilanca!H22)</f>
        <v>14</v>
      </c>
      <c r="H15" s="26">
        <f t="shared" si="0"/>
        <v>929584.04</v>
      </c>
      <c r="I15" s="27">
        <f t="shared" si="1"/>
        <v>0</v>
      </c>
      <c r="J15" s="27">
        <f>Bilanca!I22</f>
        <v>1536312</v>
      </c>
      <c r="K15" s="27">
        <f>Bilanca!J22</f>
        <v>2551787</v>
      </c>
    </row>
    <row r="16" spans="1:11" ht="12.75">
      <c r="A16" s="4" t="s">
        <v>2740</v>
      </c>
      <c r="B16" s="25" t="str">
        <f>TEXT(RefStr!C39,"000")</f>
        <v>351</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3811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t="str">
        <f>IF(Bilanca!H25=0,"",Bilanca!H25)</f>
        <v>14</v>
      </c>
      <c r="H18" s="26">
        <f t="shared" si="0"/>
        <v>2583920.95</v>
      </c>
      <c r="I18" s="27">
        <f t="shared" si="1"/>
        <v>0</v>
      </c>
      <c r="J18" s="27">
        <f>Bilanca!I25</f>
        <v>840597</v>
      </c>
      <c r="K18" s="27">
        <f>Bilanca!J25</f>
        <v>7179469</v>
      </c>
    </row>
    <row r="19" spans="1:11" ht="12.75">
      <c r="A19" s="4" t="s">
        <v>2887</v>
      </c>
      <c r="B19" s="25" t="str">
        <f>IF(RefStr!I21&lt;&gt;"",RefStr!I21,"")</f>
        <v>DA</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t="str">
        <f>IF(Bilanca!H27=0,"",Bilanca!H27)</f>
        <v>14</v>
      </c>
      <c r="H20" s="26">
        <f t="shared" si="0"/>
        <v>573546.54</v>
      </c>
      <c r="I20" s="27">
        <f t="shared" si="1"/>
        <v>0</v>
      </c>
      <c r="J20" s="27">
        <f>Bilanca!I27</f>
        <v>1035972</v>
      </c>
      <c r="K20" s="27">
        <f>Bilanca!J27</f>
        <v>991347</v>
      </c>
    </row>
    <row r="21" spans="1:11" ht="12.75">
      <c r="A21" s="4" t="s">
        <v>2889</v>
      </c>
      <c r="B21" s="25">
        <f>IF(RefStr!C50&gt;0,IF(RefStr!C50=1,4,RefStr!C50-1),RefStr!C50)</f>
        <v>2</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126</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128</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101</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99</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13357565.73</v>
      </c>
      <c r="I38" s="27">
        <f t="shared" si="1"/>
        <v>0</v>
      </c>
      <c r="J38" s="27">
        <f>Bilanca!I45</f>
        <v>13799341</v>
      </c>
      <c r="K38" s="27">
        <f>Bilanca!J45</f>
        <v>11151094</v>
      </c>
    </row>
    <row r="39" spans="1:11" ht="12.75">
      <c r="A39" s="4" t="s">
        <v>1611</v>
      </c>
      <c r="B39" s="25" t="str">
        <f>RefStr!C68</f>
        <v>MARIJANA PUNTARIĆ</v>
      </c>
      <c r="D39" s="4" t="s">
        <v>554</v>
      </c>
      <c r="E39" s="4">
        <v>1</v>
      </c>
      <c r="F39" s="4">
        <f>Bilanca!G46</f>
        <v>38</v>
      </c>
      <c r="G39" s="4" t="str">
        <f>IF(Bilanca!H46=0,"",Bilanca!H46)</f>
        <v>16</v>
      </c>
      <c r="H39" s="26">
        <f t="shared" si="0"/>
        <v>1605861.38</v>
      </c>
      <c r="I39" s="27">
        <f t="shared" si="1"/>
        <v>0</v>
      </c>
      <c r="J39" s="27">
        <f>Bilanca!I46</f>
        <v>1163365</v>
      </c>
      <c r="K39" s="27">
        <f>Bilanca!J46</f>
        <v>1531293</v>
      </c>
    </row>
    <row r="40" spans="1:11" ht="12.75">
      <c r="A40" s="4" t="s">
        <v>1612</v>
      </c>
      <c r="B40" s="25" t="str">
        <f>TRIM(RefStr!C70)</f>
        <v>034-316-863</v>
      </c>
      <c r="D40" s="4" t="s">
        <v>554</v>
      </c>
      <c r="E40" s="4">
        <v>1</v>
      </c>
      <c r="F40" s="4">
        <f>Bilanca!G47</f>
        <v>39</v>
      </c>
      <c r="G40" s="4" t="str">
        <f>IF(Bilanca!H47=0,"",Bilanca!H47)</f>
        <v>16</v>
      </c>
      <c r="H40" s="26">
        <f t="shared" si="0"/>
        <v>1101129.51</v>
      </c>
      <c r="I40" s="27">
        <f t="shared" si="1"/>
        <v>0</v>
      </c>
      <c r="J40" s="27">
        <f>Bilanca!I47</f>
        <v>718309</v>
      </c>
      <c r="K40" s="27">
        <f>Bilanca!J47</f>
        <v>1052550</v>
      </c>
    </row>
    <row r="41" spans="1:11" ht="12.75">
      <c r="A41" s="4" t="s">
        <v>1613</v>
      </c>
      <c r="B41" s="25" t="s">
        <v>72</v>
      </c>
      <c r="D41" s="4" t="s">
        <v>554</v>
      </c>
      <c r="E41" s="4">
        <v>1</v>
      </c>
      <c r="F41" s="4">
        <f>Bilanca!G48</f>
        <v>40</v>
      </c>
      <c r="G41" s="4" t="str">
        <f>IF(Bilanca!H48=0,"",Bilanca!H48)</f>
        <v>16</v>
      </c>
      <c r="H41" s="26">
        <f t="shared" si="0"/>
        <v>150726.40000000002</v>
      </c>
      <c r="I41" s="27">
        <f t="shared" si="1"/>
        <v>0</v>
      </c>
      <c r="J41" s="27">
        <f>Bilanca!I48</f>
        <v>123164</v>
      </c>
      <c r="K41" s="27">
        <f>Bilanca!J48</f>
        <v>126826</v>
      </c>
    </row>
    <row r="42" spans="1:11" ht="12.75">
      <c r="A42" s="4" t="s">
        <v>1300</v>
      </c>
      <c r="B42" s="25" t="str">
        <f>TRIM(RefStr!C72)</f>
        <v>marijana.puntaric@komunalac-pozega.hr</v>
      </c>
      <c r="D42" s="4" t="s">
        <v>554</v>
      </c>
      <c r="E42" s="4">
        <v>1</v>
      </c>
      <c r="F42" s="4">
        <f>Bilanca!G49</f>
        <v>41</v>
      </c>
      <c r="G42" s="4" t="str">
        <f>IF(Bilanca!H49=0,"",Bilanca!H49)</f>
        <v>16</v>
      </c>
      <c r="H42" s="26">
        <f t="shared" si="0"/>
        <v>420350.86</v>
      </c>
      <c r="I42" s="27">
        <f t="shared" si="1"/>
        <v>0</v>
      </c>
      <c r="J42" s="27">
        <f>Bilanca!I49</f>
        <v>321764</v>
      </c>
      <c r="K42" s="27">
        <f>Bilanca!J49</f>
        <v>351741</v>
      </c>
    </row>
    <row r="43" spans="1:11" ht="12.75">
      <c r="A43" s="4" t="s">
        <v>1299</v>
      </c>
      <c r="B43" s="25" t="str">
        <f>TRIM(RefStr!A75)</f>
        <v>DOMAGOJ LOVRIĆ mag. ing. mech.</v>
      </c>
      <c r="D43" s="4" t="s">
        <v>554</v>
      </c>
      <c r="E43" s="4">
        <v>1</v>
      </c>
      <c r="F43" s="4">
        <f>Bilanca!G50</f>
        <v>42</v>
      </c>
      <c r="G43" s="4" t="str">
        <f>IF(Bilanca!H50=0,"",Bilanca!H50)</f>
        <v>16</v>
      </c>
      <c r="H43" s="26">
        <f t="shared" si="0"/>
        <v>201.6</v>
      </c>
      <c r="I43" s="27">
        <f t="shared" si="1"/>
        <v>0</v>
      </c>
      <c r="J43" s="27">
        <f>Bilanca!I50</f>
        <v>128</v>
      </c>
      <c r="K43" s="27">
        <f>Bilanca!J50</f>
        <v>176</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6455859.42</v>
      </c>
      <c r="I47" s="27">
        <f t="shared" si="3"/>
        <v>0</v>
      </c>
      <c r="J47" s="27">
        <f>Bilanca!I54</f>
        <v>4388393</v>
      </c>
      <c r="K47" s="27">
        <f>Bilanca!J54</f>
        <v>4823042</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DA</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t="str">
        <f>IF(Bilanca!H57=0,"",Bilanca!H57)</f>
        <v>17</v>
      </c>
      <c r="H50" s="26">
        <f t="shared" si="2"/>
        <v>4958357.04</v>
      </c>
      <c r="I50" s="27">
        <f t="shared" si="3"/>
        <v>0</v>
      </c>
      <c r="J50" s="27">
        <f>Bilanca!I57</f>
        <v>4012926</v>
      </c>
      <c r="K50" s="27">
        <f>Bilanca!J57</f>
        <v>3053085</v>
      </c>
    </row>
    <row r="51" spans="1:11" ht="12.75">
      <c r="A51" s="4" t="s">
        <v>1035</v>
      </c>
      <c r="B51" s="25" t="str">
        <f>RefStr!I60</f>
        <v>DA</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t="str">
        <f>IF(Bilanca!H59=0,"",Bilanca!H59)</f>
        <v>18</v>
      </c>
      <c r="H52" s="26">
        <f t="shared" si="2"/>
        <v>1398333.3</v>
      </c>
      <c r="I52" s="27">
        <f t="shared" si="3"/>
        <v>0</v>
      </c>
      <c r="J52" s="27">
        <f>Bilanca!I59</f>
        <v>47234</v>
      </c>
      <c r="K52" s="27">
        <f>Bilanca!J59</f>
        <v>1347298</v>
      </c>
    </row>
    <row r="53" spans="1:11" ht="12.75">
      <c r="A53" s="4" t="s">
        <v>1301</v>
      </c>
      <c r="B53" s="25" t="str">
        <f>RefStr!I56</f>
        <v>DA</v>
      </c>
      <c r="D53" s="4" t="s">
        <v>554</v>
      </c>
      <c r="E53" s="4">
        <v>1</v>
      </c>
      <c r="F53" s="4">
        <f>Bilanca!G60</f>
        <v>52</v>
      </c>
      <c r="G53" s="4" t="str">
        <f>IF(Bilanca!H60=0,"",Bilanca!H60)</f>
        <v>19</v>
      </c>
      <c r="H53" s="26">
        <f t="shared" si="2"/>
        <v>610246.52</v>
      </c>
      <c r="I53" s="27">
        <f t="shared" si="3"/>
        <v>0</v>
      </c>
      <c r="J53" s="27">
        <f>Bilanca!I60</f>
        <v>328233</v>
      </c>
      <c r="K53" s="27">
        <f>Bilanca!J60</f>
        <v>422659</v>
      </c>
    </row>
    <row r="54" spans="1:11" ht="12.75">
      <c r="A54" s="4" t="s">
        <v>1302</v>
      </c>
      <c r="B54" s="25" t="str">
        <f>RefStr!I62</f>
        <v>DA</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DA</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3167572078.2099996</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75897840685</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t="str">
        <f>IF(Bilanca!H71=0,"",Bilanca!H71)</f>
        <v>20</v>
      </c>
      <c r="H64" s="26">
        <f t="shared" si="2"/>
        <v>11239893.629999999</v>
      </c>
      <c r="I64" s="27">
        <f t="shared" si="3"/>
        <v>0</v>
      </c>
      <c r="J64" s="27">
        <f>Bilanca!I71</f>
        <v>8247583</v>
      </c>
      <c r="K64" s="27">
        <f>Bilanca!J71</f>
        <v>4796759</v>
      </c>
    </row>
    <row r="65" spans="1:11" ht="12.75">
      <c r="A65" s="4" t="s">
        <v>923</v>
      </c>
      <c r="B65" s="25" t="str">
        <f>TRIM(RefStr!N19)</f>
        <v>HSFI</v>
      </c>
      <c r="D65" s="4" t="s">
        <v>554</v>
      </c>
      <c r="E65" s="4">
        <v>1</v>
      </c>
      <c r="F65" s="4">
        <f>Bilanca!G72</f>
        <v>64</v>
      </c>
      <c r="G65" s="4" t="str">
        <f>IF(Bilanca!H72=0,"",Bilanca!H72)</f>
        <v>21</v>
      </c>
      <c r="H65" s="26">
        <f t="shared" si="2"/>
        <v>272087.04000000004</v>
      </c>
      <c r="I65" s="27">
        <f t="shared" si="3"/>
        <v>0</v>
      </c>
      <c r="J65" s="27">
        <f>Bilanca!I72</f>
        <v>130548</v>
      </c>
      <c r="K65" s="27">
        <f>Bilanca!J72</f>
        <v>147294</v>
      </c>
    </row>
    <row r="66" spans="1:11" ht="12.75">
      <c r="A66" s="4" t="s">
        <v>924</v>
      </c>
      <c r="B66" s="25">
        <f>RefStr!C23</f>
        <v>1</v>
      </c>
      <c r="D66" s="4" t="s">
        <v>554</v>
      </c>
      <c r="E66" s="4">
        <v>1</v>
      </c>
      <c r="F66" s="4">
        <f>Bilanca!G73</f>
        <v>65</v>
      </c>
      <c r="G66" s="4">
        <f>IF(Bilanca!H73=0,"",Bilanca!H73)</f>
      </c>
      <c r="H66" s="26">
        <f t="shared" si="2"/>
        <v>73665859.8</v>
      </c>
      <c r="I66" s="27">
        <f t="shared" si="3"/>
        <v>0</v>
      </c>
      <c r="J66" s="27">
        <f>Bilanca!I73</f>
        <v>34855230</v>
      </c>
      <c r="K66" s="27">
        <f>Bilanca!J73</f>
        <v>39238431</v>
      </c>
    </row>
    <row r="67" spans="1:11" ht="12.75">
      <c r="A67" s="4" t="s">
        <v>925</v>
      </c>
      <c r="B67" s="25" t="str">
        <f>TRIM(RefStr!L35)</f>
        <v>034/316-863</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60481817.230000004</v>
      </c>
      <c r="I68" s="27">
        <f t="shared" si="3"/>
        <v>0</v>
      </c>
      <c r="J68" s="27">
        <f>Bilanca!I76</f>
        <v>29959331</v>
      </c>
      <c r="K68" s="27">
        <f>Bilanca!J76</f>
        <v>30156019</v>
      </c>
    </row>
    <row r="69" spans="1:11" ht="12.75">
      <c r="A69" s="4" t="s">
        <v>927</v>
      </c>
      <c r="B69" s="25">
        <f>TRIM(RefStr!M46)</f>
      </c>
      <c r="D69" s="4" t="s">
        <v>554</v>
      </c>
      <c r="E69" s="4">
        <v>1</v>
      </c>
      <c r="F69" s="4">
        <f>Bilanca!G77</f>
        <v>68</v>
      </c>
      <c r="G69" s="4" t="str">
        <f>IF(Bilanca!H77=0,"",Bilanca!H77)</f>
        <v>22</v>
      </c>
      <c r="H69" s="26">
        <f t="shared" si="2"/>
        <v>31556760</v>
      </c>
      <c r="I69" s="27">
        <f t="shared" si="3"/>
        <v>0</v>
      </c>
      <c r="J69" s="27">
        <f>Bilanca!I77</f>
        <v>15469000</v>
      </c>
      <c r="K69" s="27">
        <f>Bilanca!J77</f>
        <v>15469000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t="str">
        <f>IF(Bilanca!H79=0,"",Bilanca!H79)</f>
        <v>22</v>
      </c>
      <c r="H71" s="26">
        <f t="shared" si="2"/>
        <v>190335.6</v>
      </c>
      <c r="I71" s="27">
        <f t="shared" si="3"/>
        <v>0</v>
      </c>
      <c r="J71" s="27">
        <f>Bilanca!I79</f>
        <v>90636</v>
      </c>
      <c r="K71" s="27">
        <f>Bilanca!J79</f>
        <v>90636</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t="str">
        <f>IF(Bilanca!H84=0,"",Bilanca!H84)</f>
        <v>22</v>
      </c>
      <c r="H76" s="26">
        <f t="shared" si="2"/>
        <v>203931</v>
      </c>
      <c r="I76" s="27">
        <f t="shared" si="3"/>
        <v>0</v>
      </c>
      <c r="J76" s="27">
        <f>Bilanca!I84</f>
        <v>90636</v>
      </c>
      <c r="K76" s="27">
        <f>Bilanca!J84</f>
        <v>90636</v>
      </c>
    </row>
    <row r="77" spans="4:11" ht="12.75">
      <c r="D77" s="4" t="s">
        <v>554</v>
      </c>
      <c r="E77" s="4">
        <v>1</v>
      </c>
      <c r="F77" s="4">
        <f>Bilanca!G85</f>
        <v>76</v>
      </c>
      <c r="G77" s="4" t="str">
        <f>IF(Bilanca!H85=0,"",Bilanca!H85)</f>
        <v>22</v>
      </c>
      <c r="H77" s="26">
        <f t="shared" si="2"/>
        <v>305805</v>
      </c>
      <c r="I77" s="27">
        <f t="shared" si="3"/>
        <v>0</v>
      </c>
      <c r="J77" s="27">
        <f>Bilanca!I85</f>
        <v>134125</v>
      </c>
      <c r="K77" s="27">
        <f>Bilanca!J85</f>
        <v>134125</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t="str">
        <f>IF(Bilanca!H92=0,"",Bilanca!H92)</f>
        <v>22</v>
      </c>
      <c r="H84" s="26">
        <f t="shared" si="2"/>
        <v>33772056.75</v>
      </c>
      <c r="I84" s="27">
        <f t="shared" si="3"/>
        <v>0</v>
      </c>
      <c r="J84" s="27">
        <f>Bilanca!I92</f>
        <v>12158085</v>
      </c>
      <c r="K84" s="27">
        <f>Bilanca!J92</f>
        <v>14265570</v>
      </c>
    </row>
    <row r="85" spans="4:11" ht="12.75">
      <c r="D85" s="4" t="s">
        <v>554</v>
      </c>
      <c r="E85" s="4">
        <v>1</v>
      </c>
      <c r="F85" s="4">
        <f>Bilanca!G93</f>
        <v>84</v>
      </c>
      <c r="G85" s="4" t="str">
        <f>IF(Bilanca!H93=0,"",Bilanca!H93)</f>
        <v>22</v>
      </c>
      <c r="H85" s="26">
        <f t="shared" si="2"/>
        <v>34178949</v>
      </c>
      <c r="I85" s="27">
        <f t="shared" si="3"/>
        <v>0</v>
      </c>
      <c r="J85" s="27">
        <f>Bilanca!I93</f>
        <v>12158085</v>
      </c>
      <c r="K85" s="27">
        <f>Bilanca!J93</f>
        <v>14265570</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t="str">
        <f>IF(Bilanca!H95=0,"",Bilanca!H95)</f>
        <v>22</v>
      </c>
      <c r="H87" s="26">
        <f>J87/100*F87+2*K87/100*F87</f>
        <v>2150740.46</v>
      </c>
      <c r="I87" s="27">
        <f>ABS(ROUND(J87,0)-J87)+ABS(ROUND(K87,0)-K87)</f>
        <v>0</v>
      </c>
      <c r="J87" s="27">
        <f>Bilanca!I95</f>
        <v>2107485</v>
      </c>
      <c r="K87" s="27">
        <f>Bilanca!J95</f>
        <v>196688</v>
      </c>
    </row>
    <row r="88" spans="4:11" ht="12.75">
      <c r="D88" s="4" t="s">
        <v>554</v>
      </c>
      <c r="E88" s="4">
        <v>1</v>
      </c>
      <c r="F88" s="4">
        <f>Bilanca!G96</f>
        <v>87</v>
      </c>
      <c r="G88" s="4" t="str">
        <f>IF(Bilanca!H96=0,"",Bilanca!H96)</f>
        <v>22</v>
      </c>
      <c r="H88" s="26">
        <f>J88/100*F88+2*K88/100*F88</f>
        <v>2175749.07</v>
      </c>
      <c r="I88" s="27">
        <f>ABS(ROUND(J88,0)-J88)+ABS(ROUND(K88,0)-K88)</f>
        <v>0</v>
      </c>
      <c r="J88" s="27">
        <f>Bilanca!I96</f>
        <v>2107485</v>
      </c>
      <c r="K88" s="27">
        <f>Bilanca!J96</f>
        <v>196688</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t="str">
        <f>IF(Bilanca!H99=0,"",Bilanca!H99)</f>
        <v>23</v>
      </c>
      <c r="H91" s="26">
        <f t="shared" si="4"/>
        <v>90029.7</v>
      </c>
      <c r="I91" s="27">
        <f t="shared" si="5"/>
        <v>0</v>
      </c>
      <c r="J91" s="27">
        <f>Bilanca!I99</f>
        <v>34481</v>
      </c>
      <c r="K91" s="27">
        <f>Bilanca!J99</f>
        <v>32776</v>
      </c>
    </row>
    <row r="92" spans="4:11" ht="12.75">
      <c r="D92" s="4" t="s">
        <v>554</v>
      </c>
      <c r="E92" s="4">
        <v>1</v>
      </c>
      <c r="F92" s="4">
        <f>Bilanca!G100</f>
        <v>91</v>
      </c>
      <c r="G92" s="4">
        <f>IF(Bilanca!H100=0,"",Bilanca!H100)</f>
      </c>
      <c r="H92" s="26">
        <f t="shared" si="4"/>
        <v>91030.03</v>
      </c>
      <c r="I92" s="27">
        <f t="shared" si="5"/>
        <v>0</v>
      </c>
      <c r="J92" s="27">
        <f>Bilanca!I100</f>
        <v>34481</v>
      </c>
      <c r="K92" s="27">
        <f>Bilanca!J100</f>
        <v>32776</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t="str">
        <f>IF(Bilanca!H106=0,"",Bilanca!H106)</f>
        <v>24</v>
      </c>
      <c r="H98" s="26">
        <f t="shared" si="4"/>
        <v>1586892.8399999999</v>
      </c>
      <c r="I98" s="27">
        <f t="shared" si="5"/>
        <v>0</v>
      </c>
      <c r="J98" s="27">
        <f>Bilanca!I106</f>
        <v>746880</v>
      </c>
      <c r="K98" s="27">
        <f>Bilanca!J106</f>
        <v>444546</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t="str">
        <f>IF(Bilanca!H112=0,"",Bilanca!H112)</f>
        <v>24</v>
      </c>
      <c r="H104" s="26">
        <f t="shared" si="4"/>
        <v>1685051.1600000001</v>
      </c>
      <c r="I104" s="27">
        <f t="shared" si="5"/>
        <v>0</v>
      </c>
      <c r="J104" s="27">
        <f>Bilanca!I112</f>
        <v>746880</v>
      </c>
      <c r="K104" s="27">
        <f>Bilanca!J112</f>
        <v>444546</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12024330.639999999</v>
      </c>
      <c r="I110" s="27">
        <f t="shared" si="5"/>
        <v>0</v>
      </c>
      <c r="J110" s="27">
        <f>Bilanca!I118</f>
        <v>3251240</v>
      </c>
      <c r="K110" s="27">
        <f>Bilanca!J118</f>
        <v>3890128</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t="str">
        <f>IF(Bilanca!H123=0,"",Bilanca!H123)</f>
        <v>25</v>
      </c>
      <c r="H115" s="26">
        <f t="shared" si="4"/>
        <v>82627.2</v>
      </c>
      <c r="I115" s="27">
        <f t="shared" si="5"/>
        <v>0</v>
      </c>
      <c r="J115" s="27">
        <f>Bilanca!I123</f>
        <v>13000</v>
      </c>
      <c r="K115" s="27">
        <f>Bilanca!J123</f>
        <v>29740</v>
      </c>
    </row>
    <row r="116" spans="4:11" ht="12.75">
      <c r="D116" s="4" t="s">
        <v>554</v>
      </c>
      <c r="E116" s="4">
        <v>1</v>
      </c>
      <c r="F116" s="4">
        <f>Bilanca!G124</f>
        <v>115</v>
      </c>
      <c r="G116" s="4" t="str">
        <f>IF(Bilanca!H124=0,"",Bilanca!H124)</f>
        <v>24</v>
      </c>
      <c r="H116" s="26">
        <f t="shared" si="4"/>
        <v>1039682.8</v>
      </c>
      <c r="I116" s="27">
        <f t="shared" si="5"/>
        <v>0</v>
      </c>
      <c r="J116" s="27">
        <f>Bilanca!I124</f>
        <v>295962</v>
      </c>
      <c r="K116" s="27">
        <f>Bilanca!J124</f>
        <v>304055</v>
      </c>
    </row>
    <row r="117" spans="4:11" ht="12.75">
      <c r="D117" s="4" t="s">
        <v>554</v>
      </c>
      <c r="E117" s="4">
        <v>1</v>
      </c>
      <c r="F117" s="4">
        <f>Bilanca!G125</f>
        <v>116</v>
      </c>
      <c r="G117" s="4" t="str">
        <f>IF(Bilanca!H125=0,"",Bilanca!H125)</f>
        <v>25</v>
      </c>
      <c r="H117" s="26">
        <f t="shared" si="4"/>
        <v>124589.8</v>
      </c>
      <c r="I117" s="27">
        <f t="shared" si="5"/>
        <v>0</v>
      </c>
      <c r="J117" s="27">
        <f>Bilanca!I125</f>
        <v>92347</v>
      </c>
      <c r="K117" s="27">
        <f>Bilanca!J125</f>
        <v>7529</v>
      </c>
    </row>
    <row r="118" spans="4:11" ht="12.75">
      <c r="D118" s="4" t="s">
        <v>554</v>
      </c>
      <c r="E118" s="4">
        <v>1</v>
      </c>
      <c r="F118" s="4">
        <f>Bilanca!G126</f>
        <v>117</v>
      </c>
      <c r="G118" s="4" t="str">
        <f>IF(Bilanca!H126=0,"",Bilanca!H126)</f>
        <v>26</v>
      </c>
      <c r="H118" s="26">
        <f t="shared" si="4"/>
        <v>6044315.9399999995</v>
      </c>
      <c r="I118" s="27">
        <f t="shared" si="5"/>
        <v>0</v>
      </c>
      <c r="J118" s="27">
        <f>Bilanca!I126</f>
        <v>854132</v>
      </c>
      <c r="K118" s="27">
        <f>Bilanca!J126</f>
        <v>2155975</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t="str">
        <f>IF(Bilanca!H128=0,"",Bilanca!H128)</f>
        <v>27</v>
      </c>
      <c r="H120" s="26">
        <f t="shared" si="4"/>
        <v>3152809.8</v>
      </c>
      <c r="I120" s="27">
        <f t="shared" si="5"/>
        <v>0</v>
      </c>
      <c r="J120" s="27">
        <f>Bilanca!I128</f>
        <v>798492</v>
      </c>
      <c r="K120" s="27">
        <f>Bilanca!J128</f>
        <v>925464</v>
      </c>
    </row>
    <row r="121" spans="4:11" ht="12.75">
      <c r="D121" s="4" t="s">
        <v>554</v>
      </c>
      <c r="E121" s="4">
        <v>1</v>
      </c>
      <c r="F121" s="4">
        <f>Bilanca!G129</f>
        <v>120</v>
      </c>
      <c r="G121" s="4" t="str">
        <f>IF(Bilanca!H129=0,"",Bilanca!H129)</f>
        <v>28</v>
      </c>
      <c r="H121" s="26">
        <f t="shared" si="4"/>
        <v>2239810.8</v>
      </c>
      <c r="I121" s="27">
        <f t="shared" si="5"/>
        <v>0</v>
      </c>
      <c r="J121" s="27">
        <f>Bilanca!I129</f>
        <v>1001115</v>
      </c>
      <c r="K121" s="27">
        <f>Bilanca!J129</f>
        <v>432697</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t="str">
        <f>IF(Bilanca!H132=0,"",Bilanca!H132)</f>
        <v>29</v>
      </c>
      <c r="H124" s="26">
        <f t="shared" si="4"/>
        <v>326599.44</v>
      </c>
      <c r="I124" s="27">
        <f t="shared" si="5"/>
        <v>0</v>
      </c>
      <c r="J124" s="27">
        <f>Bilanca!I132</f>
        <v>196192</v>
      </c>
      <c r="K124" s="27">
        <f>Bilanca!J132</f>
        <v>34668</v>
      </c>
    </row>
    <row r="125" spans="4:11" ht="12.75">
      <c r="D125" s="4" t="s">
        <v>554</v>
      </c>
      <c r="E125" s="4">
        <v>1</v>
      </c>
      <c r="F125" s="4">
        <f>Bilanca!G133</f>
        <v>124</v>
      </c>
      <c r="G125" s="4" t="str">
        <f>IF(Bilanca!H133=0,"",Bilanca!H133)</f>
        <v>30</v>
      </c>
      <c r="H125" s="26">
        <f t="shared" si="4"/>
        <v>12763595.28</v>
      </c>
      <c r="I125" s="27">
        <f t="shared" si="5"/>
        <v>0</v>
      </c>
      <c r="J125" s="27">
        <f>Bilanca!I133</f>
        <v>863298</v>
      </c>
      <c r="K125" s="27">
        <f>Bilanca!J133</f>
        <v>4714962</v>
      </c>
    </row>
    <row r="126" spans="4:11" ht="12.75">
      <c r="D126" s="4" t="s">
        <v>554</v>
      </c>
      <c r="E126" s="4">
        <v>1</v>
      </c>
      <c r="F126" s="4">
        <f>Bilanca!G134</f>
        <v>125</v>
      </c>
      <c r="G126" s="4">
        <f>IF(Bilanca!H134=0,"",Bilanca!H134)</f>
      </c>
      <c r="H126" s="26">
        <f t="shared" si="4"/>
        <v>141665115</v>
      </c>
      <c r="I126" s="27">
        <f t="shared" si="5"/>
        <v>0</v>
      </c>
      <c r="J126" s="27">
        <f>Bilanca!I134</f>
        <v>34855230</v>
      </c>
      <c r="K126" s="27">
        <f>Bilanca!J134</f>
        <v>39238431</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104281554.2</v>
      </c>
      <c r="I128" s="4">
        <f t="shared" si="5"/>
        <v>0</v>
      </c>
      <c r="J128" s="27">
        <f>RDG!I8</f>
        <v>28622618</v>
      </c>
      <c r="K128" s="27">
        <f>RDG!J8</f>
        <v>26744421</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t="str">
        <f>IF(RDG!H10=0,"",RDG!H10)</f>
        <v>4</v>
      </c>
      <c r="H130" s="26">
        <f aca="true" t="shared" si="6" ref="H130:H192">J130/100*F130+2*K130/100*F130</f>
        <v>96421395.72</v>
      </c>
      <c r="I130" s="4">
        <f aca="true" t="shared" si="7" ref="I130:I192">ABS(ROUND(J130,0)-J130)+ABS(ROUND(K130,0)-K130)</f>
        <v>0</v>
      </c>
      <c r="J130" s="27">
        <f>RDG!I10</f>
        <v>25682350</v>
      </c>
      <c r="K130" s="27">
        <f>RDG!J10</f>
        <v>24531459</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t="str">
        <f>IF(RDG!H13=0,"",RDG!H13)</f>
        <v>5</v>
      </c>
      <c r="H133" s="26">
        <f t="shared" si="6"/>
        <v>9723373.44</v>
      </c>
      <c r="I133" s="4">
        <f t="shared" si="7"/>
        <v>0</v>
      </c>
      <c r="J133" s="27">
        <f>RDG!I13</f>
        <v>2940268</v>
      </c>
      <c r="K133" s="27">
        <f>RDG!J13</f>
        <v>2212962</v>
      </c>
    </row>
    <row r="134" spans="4:11" ht="12.75">
      <c r="D134" s="4" t="s">
        <v>794</v>
      </c>
      <c r="E134" s="4">
        <v>2</v>
      </c>
      <c r="F134" s="4">
        <f>RDG!G14</f>
        <v>133</v>
      </c>
      <c r="G134" s="4">
        <f>IF(RDG!H14=0,"",RDG!H14)</f>
      </c>
      <c r="H134" s="26">
        <f t="shared" si="6"/>
        <v>105200276.16</v>
      </c>
      <c r="I134" s="4">
        <f t="shared" si="7"/>
        <v>0</v>
      </c>
      <c r="J134" s="27">
        <f>RDG!I14</f>
        <v>26084142</v>
      </c>
      <c r="K134" s="27">
        <f>RDG!J14</f>
        <v>26506905</v>
      </c>
    </row>
    <row r="135" spans="4:11" ht="12.75">
      <c r="D135" s="4" t="s">
        <v>794</v>
      </c>
      <c r="E135" s="4">
        <v>2</v>
      </c>
      <c r="F135" s="4">
        <f>RDG!G15</f>
        <v>134</v>
      </c>
      <c r="G135" s="4" t="str">
        <f>IF(RDG!H15=0,"",RDG!H15)</f>
        <v>6</v>
      </c>
      <c r="H135" s="26">
        <f t="shared" si="6"/>
        <v>42277</v>
      </c>
      <c r="I135" s="4">
        <f t="shared" si="7"/>
        <v>0</v>
      </c>
      <c r="J135" s="27">
        <f>RDG!I15</f>
        <v>98828</v>
      </c>
      <c r="K135" s="27">
        <f>RDG!J15</f>
        <v>-33639</v>
      </c>
    </row>
    <row r="136" spans="4:11" ht="12.75">
      <c r="D136" s="4" t="s">
        <v>794</v>
      </c>
      <c r="E136" s="4">
        <v>2</v>
      </c>
      <c r="F136" s="4">
        <f>RDG!G16</f>
        <v>135</v>
      </c>
      <c r="G136" s="4">
        <f>IF(RDG!H16=0,"",RDG!H16)</f>
      </c>
      <c r="H136" s="26">
        <f t="shared" si="6"/>
        <v>27285165.9</v>
      </c>
      <c r="I136" s="4">
        <f t="shared" si="7"/>
        <v>0</v>
      </c>
      <c r="J136" s="27">
        <f>RDG!I16</f>
        <v>6484406</v>
      </c>
      <c r="K136" s="27">
        <f>RDG!J16</f>
        <v>6863414</v>
      </c>
    </row>
    <row r="137" spans="4:11" ht="12.75">
      <c r="D137" s="4" t="s">
        <v>794</v>
      </c>
      <c r="E137" s="4">
        <v>2</v>
      </c>
      <c r="F137" s="4">
        <f>RDG!G17</f>
        <v>136</v>
      </c>
      <c r="G137" s="4" t="str">
        <f>IF(RDG!H17=0,"",RDG!H17)</f>
        <v>6</v>
      </c>
      <c r="H137" s="26">
        <f t="shared" si="6"/>
        <v>14931920.08</v>
      </c>
      <c r="I137" s="4">
        <f t="shared" si="7"/>
        <v>0</v>
      </c>
      <c r="J137" s="27">
        <f>RDG!I17</f>
        <v>3342187</v>
      </c>
      <c r="K137" s="27">
        <f>RDG!J17</f>
        <v>3818583</v>
      </c>
    </row>
    <row r="138" spans="4:11" ht="12.75">
      <c r="D138" s="4" t="s">
        <v>794</v>
      </c>
      <c r="E138" s="4">
        <v>2</v>
      </c>
      <c r="F138" s="4">
        <f>RDG!G18</f>
        <v>137</v>
      </c>
      <c r="G138" s="4" t="str">
        <f>IF(RDG!H18=0,"",RDG!H18)</f>
        <v>6</v>
      </c>
      <c r="H138" s="26">
        <f t="shared" si="6"/>
        <v>14527.48</v>
      </c>
      <c r="I138" s="4">
        <f t="shared" si="7"/>
        <v>0</v>
      </c>
      <c r="J138" s="27">
        <f>RDG!I18</f>
        <v>4880</v>
      </c>
      <c r="K138" s="27">
        <f>RDG!J18</f>
        <v>2862</v>
      </c>
    </row>
    <row r="139" spans="4:11" ht="12.75">
      <c r="D139" s="4" t="s">
        <v>794</v>
      </c>
      <c r="E139" s="4">
        <v>2</v>
      </c>
      <c r="F139" s="4">
        <f>RDG!G19</f>
        <v>138</v>
      </c>
      <c r="G139" s="4" t="str">
        <f>IF(RDG!H19=0,"",RDG!H19)</f>
        <v>7</v>
      </c>
      <c r="H139" s="26">
        <f t="shared" si="6"/>
        <v>12725362.26</v>
      </c>
      <c r="I139" s="4">
        <f t="shared" si="7"/>
        <v>0</v>
      </c>
      <c r="J139" s="27">
        <f>RDG!I19</f>
        <v>3137339</v>
      </c>
      <c r="K139" s="27">
        <f>RDG!J19</f>
        <v>3041969</v>
      </c>
    </row>
    <row r="140" spans="4:11" ht="12.75">
      <c r="D140" s="4" t="s">
        <v>794</v>
      </c>
      <c r="E140" s="4">
        <v>2</v>
      </c>
      <c r="F140" s="4">
        <f>RDG!G20</f>
        <v>139</v>
      </c>
      <c r="G140" s="4" t="str">
        <f>IF(RDG!H20=0,"",RDG!H20)</f>
        <v>8</v>
      </c>
      <c r="H140" s="26">
        <f t="shared" si="6"/>
        <v>54563956.55</v>
      </c>
      <c r="I140" s="4">
        <f t="shared" si="7"/>
        <v>0</v>
      </c>
      <c r="J140" s="27">
        <f>RDG!I20</f>
        <v>12488355</v>
      </c>
      <c r="K140" s="27">
        <f>RDG!J20</f>
        <v>13383145</v>
      </c>
    </row>
    <row r="141" spans="4:11" ht="12.75">
      <c r="D141" s="4" t="s">
        <v>794</v>
      </c>
      <c r="E141" s="4">
        <v>2</v>
      </c>
      <c r="F141" s="4">
        <f>RDG!G21</f>
        <v>140</v>
      </c>
      <c r="G141" s="4" t="str">
        <f>IF(RDG!H21=0,"",RDG!H21)</f>
        <v>8</v>
      </c>
      <c r="H141" s="26">
        <f t="shared" si="6"/>
        <v>36061086.6</v>
      </c>
      <c r="I141" s="4">
        <f t="shared" si="7"/>
        <v>0</v>
      </c>
      <c r="J141" s="27">
        <f>RDG!I21</f>
        <v>8214253</v>
      </c>
      <c r="K141" s="27">
        <f>RDG!J21</f>
        <v>8771833</v>
      </c>
    </row>
    <row r="142" spans="4:11" ht="12.75">
      <c r="D142" s="4" t="s">
        <v>794</v>
      </c>
      <c r="E142" s="4">
        <v>2</v>
      </c>
      <c r="F142" s="4">
        <f>RDG!G22</f>
        <v>141</v>
      </c>
      <c r="G142" s="4" t="str">
        <f>IF(RDG!H22=0,"",RDG!H22)</f>
        <v>8</v>
      </c>
      <c r="H142" s="26">
        <f t="shared" si="6"/>
        <v>11064890.4</v>
      </c>
      <c r="I142" s="4">
        <f t="shared" si="7"/>
        <v>0</v>
      </c>
      <c r="J142" s="27">
        <f>RDG!I22</f>
        <v>2472010</v>
      </c>
      <c r="K142" s="27">
        <f>RDG!J22</f>
        <v>2687715</v>
      </c>
    </row>
    <row r="143" spans="4:11" ht="12.75">
      <c r="D143" s="4" t="s">
        <v>794</v>
      </c>
      <c r="E143" s="4">
        <v>2</v>
      </c>
      <c r="F143" s="4">
        <f>RDG!G23</f>
        <v>142</v>
      </c>
      <c r="G143" s="4" t="str">
        <f>IF(RDG!H23=0,"",RDG!H23)</f>
        <v>8</v>
      </c>
      <c r="H143" s="26">
        <f t="shared" si="6"/>
        <v>8021986.12</v>
      </c>
      <c r="I143" s="4">
        <f t="shared" si="7"/>
        <v>0</v>
      </c>
      <c r="J143" s="27">
        <f>RDG!I23</f>
        <v>1802092</v>
      </c>
      <c r="K143" s="27">
        <f>RDG!J23</f>
        <v>1923597</v>
      </c>
    </row>
    <row r="144" spans="4:11" ht="12.75">
      <c r="D144" s="4" t="s">
        <v>794</v>
      </c>
      <c r="E144" s="4">
        <v>2</v>
      </c>
      <c r="F144" s="4">
        <f>RDG!G24</f>
        <v>143</v>
      </c>
      <c r="G144" s="4" t="str">
        <f>IF(RDG!H24=0,"",RDG!H24)</f>
        <v>15</v>
      </c>
      <c r="H144" s="26">
        <f t="shared" si="6"/>
        <v>13033554.82</v>
      </c>
      <c r="I144" s="4">
        <f t="shared" si="7"/>
        <v>0</v>
      </c>
      <c r="J144" s="27">
        <f>RDG!I24</f>
        <v>3628440</v>
      </c>
      <c r="K144" s="27">
        <f>RDG!J24</f>
        <v>2742967</v>
      </c>
    </row>
    <row r="145" spans="4:11" ht="12.75">
      <c r="D145" s="4" t="s">
        <v>794</v>
      </c>
      <c r="E145" s="4">
        <v>2</v>
      </c>
      <c r="F145" s="4">
        <f>RDG!G25</f>
        <v>144</v>
      </c>
      <c r="G145" s="4" t="str">
        <f>IF(RDG!H25=0,"",RDG!H25)</f>
        <v>9</v>
      </c>
      <c r="H145" s="26">
        <f t="shared" si="6"/>
        <v>11627314.56</v>
      </c>
      <c r="I145" s="4">
        <f t="shared" si="7"/>
        <v>0</v>
      </c>
      <c r="J145" s="27">
        <f>RDG!I25</f>
        <v>2314110</v>
      </c>
      <c r="K145" s="27">
        <f>RDG!J25</f>
        <v>2880207</v>
      </c>
    </row>
    <row r="146" spans="4:11" ht="12.75">
      <c r="D146" s="4" t="s">
        <v>794</v>
      </c>
      <c r="E146" s="4">
        <v>2</v>
      </c>
      <c r="F146" s="4">
        <f>RDG!G26</f>
        <v>145</v>
      </c>
      <c r="G146" s="4" t="str">
        <f>IF(RDG!H26=0,"",RDG!H26)</f>
        <v>17</v>
      </c>
      <c r="H146" s="26">
        <f t="shared" si="6"/>
        <v>2901671.85</v>
      </c>
      <c r="I146" s="4">
        <f t="shared" si="7"/>
        <v>0</v>
      </c>
      <c r="J146" s="27">
        <f>RDG!I26</f>
        <v>943061</v>
      </c>
      <c r="K146" s="27">
        <f>RDG!J26</f>
        <v>529046</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t="str">
        <f>IF(RDG!H28=0,"",RDG!H28)</f>
        <v>17</v>
      </c>
      <c r="H148" s="26">
        <f t="shared" si="6"/>
        <v>2941694.91</v>
      </c>
      <c r="I148" s="4">
        <f t="shared" si="7"/>
        <v>0</v>
      </c>
      <c r="J148" s="27">
        <f>RDG!I28</f>
        <v>943061</v>
      </c>
      <c r="K148" s="27">
        <f>RDG!J28</f>
        <v>529046</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t="str">
        <f>IF(RDG!H36=0,"",RDG!H36)</f>
        <v>10</v>
      </c>
      <c r="H156" s="26">
        <f t="shared" si="6"/>
        <v>636231.6</v>
      </c>
      <c r="I156" s="4">
        <f t="shared" si="7"/>
        <v>0</v>
      </c>
      <c r="J156" s="27">
        <f>RDG!I36</f>
        <v>126942</v>
      </c>
      <c r="K156" s="27">
        <f>RDG!J36</f>
        <v>141765</v>
      </c>
    </row>
    <row r="157" spans="4:11" ht="12.75">
      <c r="D157" s="4" t="s">
        <v>794</v>
      </c>
      <c r="E157" s="4">
        <v>2</v>
      </c>
      <c r="F157" s="4">
        <f>RDG!G37</f>
        <v>156</v>
      </c>
      <c r="G157" s="4" t="str">
        <f>IF(RDG!H37=0,"",RDG!H37)</f>
        <v>11</v>
      </c>
      <c r="H157" s="26">
        <f t="shared" si="6"/>
        <v>444253.68000000005</v>
      </c>
      <c r="I157" s="4">
        <f t="shared" si="7"/>
        <v>0</v>
      </c>
      <c r="J157" s="27">
        <f>RDG!I37</f>
        <v>116238</v>
      </c>
      <c r="K157" s="27">
        <f>RDG!J37</f>
        <v>84270</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t="str">
        <f>IF(RDG!H44=0,"",RDG!H44)</f>
        <v>11</v>
      </c>
      <c r="H164" s="26">
        <f t="shared" si="6"/>
        <v>463223.18</v>
      </c>
      <c r="I164" s="4">
        <f t="shared" si="7"/>
        <v>0</v>
      </c>
      <c r="J164" s="27">
        <f>RDG!I44</f>
        <v>115814</v>
      </c>
      <c r="K164" s="27">
        <f>RDG!J44</f>
        <v>84186</v>
      </c>
    </row>
    <row r="165" spans="4:11" ht="12.75">
      <c r="D165" s="4" t="s">
        <v>794</v>
      </c>
      <c r="E165" s="4">
        <v>2</v>
      </c>
      <c r="F165" s="4">
        <f>RDG!G45</f>
        <v>164</v>
      </c>
      <c r="G165" s="4" t="str">
        <f>IF(RDG!H45=0,"",RDG!H45)</f>
        <v>11</v>
      </c>
      <c r="H165" s="26">
        <f t="shared" si="6"/>
        <v>970.88</v>
      </c>
      <c r="I165" s="4">
        <f t="shared" si="7"/>
        <v>0</v>
      </c>
      <c r="J165" s="27">
        <f>RDG!I45</f>
        <v>424</v>
      </c>
      <c r="K165" s="27">
        <f>RDG!J45</f>
        <v>84</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t="str">
        <f>IF(RDG!H48=0,"",RDG!H48)</f>
        <v>12</v>
      </c>
      <c r="H168" s="26">
        <f t="shared" si="6"/>
        <v>115979.82999999999</v>
      </c>
      <c r="I168" s="4">
        <f t="shared" si="7"/>
        <v>0</v>
      </c>
      <c r="J168" s="27">
        <f>RDG!I48</f>
        <v>19013</v>
      </c>
      <c r="K168" s="27">
        <f>RDG!J48</f>
        <v>25218</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t="str">
        <f>IF(RDG!H51=0,"",RDG!H51)</f>
        <v>12</v>
      </c>
      <c r="H171" s="26">
        <f t="shared" si="6"/>
        <v>107166.3</v>
      </c>
      <c r="I171" s="4">
        <f t="shared" si="7"/>
        <v>0</v>
      </c>
      <c r="J171" s="27">
        <f>RDG!I51</f>
        <v>17471</v>
      </c>
      <c r="K171" s="27">
        <f>RDG!J51</f>
        <v>22784</v>
      </c>
    </row>
    <row r="172" spans="4:11" ht="12.75">
      <c r="D172" s="4" t="s">
        <v>794</v>
      </c>
      <c r="E172" s="4">
        <v>2</v>
      </c>
      <c r="F172" s="4">
        <f>RDG!G52</f>
        <v>171</v>
      </c>
      <c r="G172" s="4" t="str">
        <f>IF(RDG!H52=0,"",RDG!H52)</f>
        <v>12</v>
      </c>
      <c r="H172" s="26">
        <f t="shared" si="6"/>
        <v>10961.1</v>
      </c>
      <c r="I172" s="4">
        <f t="shared" si="7"/>
        <v>0</v>
      </c>
      <c r="J172" s="27">
        <f>RDG!I52</f>
        <v>1542</v>
      </c>
      <c r="K172" s="27">
        <f>RDG!J52</f>
        <v>2434</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147489266.01999998</v>
      </c>
      <c r="I180" s="4">
        <f t="shared" si="7"/>
        <v>0</v>
      </c>
      <c r="J180" s="27">
        <f>RDG!I60</f>
        <v>28738856</v>
      </c>
      <c r="K180" s="27">
        <f>RDG!J60</f>
        <v>26828691</v>
      </c>
    </row>
    <row r="181" spans="4:11" ht="12.75">
      <c r="D181" s="4" t="s">
        <v>794</v>
      </c>
      <c r="E181" s="4">
        <v>2</v>
      </c>
      <c r="F181" s="4">
        <f>RDG!G61</f>
        <v>180</v>
      </c>
      <c r="G181" s="4">
        <f>IF(RDG!H61=0,"",RDG!H61)</f>
      </c>
      <c r="H181" s="26">
        <f t="shared" si="6"/>
        <v>142501321.8</v>
      </c>
      <c r="I181" s="4">
        <f t="shared" si="7"/>
        <v>0</v>
      </c>
      <c r="J181" s="27">
        <f>RDG!I61</f>
        <v>26103155</v>
      </c>
      <c r="K181" s="27">
        <f>RDG!J61</f>
        <v>26532123</v>
      </c>
    </row>
    <row r="182" spans="4:11" ht="12.75">
      <c r="D182" s="4" t="s">
        <v>794</v>
      </c>
      <c r="E182" s="4">
        <v>2</v>
      </c>
      <c r="F182" s="4">
        <f>RDG!G62</f>
        <v>181</v>
      </c>
      <c r="G182" s="4" t="str">
        <f>IF(RDG!H62=0,"",RDG!H62)</f>
        <v>13</v>
      </c>
      <c r="H182" s="26">
        <f t="shared" si="6"/>
        <v>5844194.97</v>
      </c>
      <c r="I182" s="4">
        <f t="shared" si="7"/>
        <v>0</v>
      </c>
      <c r="J182" s="27">
        <f>RDG!I62</f>
        <v>2635701</v>
      </c>
      <c r="K182" s="27">
        <f>RDG!J62</f>
        <v>296568</v>
      </c>
    </row>
    <row r="183" spans="4:11" ht="12.75">
      <c r="D183" s="4" t="s">
        <v>794</v>
      </c>
      <c r="E183" s="4">
        <v>2</v>
      </c>
      <c r="F183" s="4">
        <f>RDG!G63</f>
        <v>182</v>
      </c>
      <c r="G183" s="4" t="str">
        <f>IF(RDG!H63=0,"",RDG!H63)</f>
        <v>13</v>
      </c>
      <c r="H183" s="26">
        <f t="shared" si="6"/>
        <v>5876483.34</v>
      </c>
      <c r="I183" s="4">
        <f t="shared" si="7"/>
        <v>0</v>
      </c>
      <c r="J183" s="27">
        <f>RDG!I63</f>
        <v>2635701</v>
      </c>
      <c r="K183" s="27">
        <f>RDG!J63</f>
        <v>296568</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t="str">
        <f>IF(RDG!H65=0,"",RDG!H65)</f>
        <v>13</v>
      </c>
      <c r="H185" s="26">
        <f t="shared" si="6"/>
        <v>1339475.8399999999</v>
      </c>
      <c r="I185" s="4">
        <f t="shared" si="7"/>
        <v>0</v>
      </c>
      <c r="J185" s="27">
        <f>RDG!I65</f>
        <v>528216</v>
      </c>
      <c r="K185" s="27">
        <f>RDG!J65</f>
        <v>99880</v>
      </c>
    </row>
    <row r="186" spans="4:11" ht="12.75">
      <c r="D186" s="4" t="s">
        <v>794</v>
      </c>
      <c r="E186" s="4">
        <v>2</v>
      </c>
      <c r="F186" s="4">
        <f>RDG!G66</f>
        <v>185</v>
      </c>
      <c r="G186" s="4" t="str">
        <f>IF(RDG!H66=0,"",RDG!H66)</f>
        <v>22</v>
      </c>
      <c r="H186" s="26">
        <f t="shared" si="6"/>
        <v>4626592.85</v>
      </c>
      <c r="I186" s="4">
        <f t="shared" si="7"/>
        <v>0</v>
      </c>
      <c r="J186" s="27">
        <f>RDG!I66</f>
        <v>2107485</v>
      </c>
      <c r="K186" s="27">
        <f>RDG!J66</f>
        <v>196688</v>
      </c>
    </row>
    <row r="187" spans="4:11" ht="12.75">
      <c r="D187" s="4" t="s">
        <v>794</v>
      </c>
      <c r="E187" s="4">
        <v>2</v>
      </c>
      <c r="F187" s="4">
        <f>RDG!G67</f>
        <v>186</v>
      </c>
      <c r="G187" s="4" t="str">
        <f>IF(RDG!H67=0,"",RDG!H67)</f>
        <v>22</v>
      </c>
      <c r="H187" s="26">
        <f t="shared" si="6"/>
        <v>4651601.46</v>
      </c>
      <c r="I187" s="4">
        <f t="shared" si="7"/>
        <v>0</v>
      </c>
      <c r="J187" s="27">
        <f>RDG!I67</f>
        <v>2107485</v>
      </c>
      <c r="K187" s="27">
        <f>RDG!J67</f>
        <v>196688</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32288.37</v>
      </c>
      <c r="I299" s="4">
        <f t="shared" si="17"/>
        <v>0</v>
      </c>
      <c r="J299" s="27">
        <f>NT_I!I9</f>
        <v>2635701</v>
      </c>
      <c r="K299" s="27">
        <f>NT_I!J9</f>
        <v>296568</v>
      </c>
    </row>
    <row r="300" spans="4:11" ht="12.75">
      <c r="D300" s="4" t="s">
        <v>556</v>
      </c>
      <c r="E300" s="4">
        <v>4</v>
      </c>
      <c r="F300" s="4">
        <f>NT_I!G10</f>
        <v>2</v>
      </c>
      <c r="G300" s="4">
        <f>IF(NT_I!H10&lt;&gt;"",NT_I!H10,"")</f>
      </c>
      <c r="H300" s="26">
        <f t="shared" si="16"/>
        <v>182287.47999999998</v>
      </c>
      <c r="I300" s="4">
        <f t="shared" si="17"/>
        <v>0</v>
      </c>
      <c r="J300" s="27">
        <f>NT_I!I10</f>
        <v>3628440</v>
      </c>
      <c r="K300" s="27">
        <f>NT_I!J10</f>
        <v>2742967</v>
      </c>
    </row>
    <row r="301" spans="4:11" ht="12.75">
      <c r="D301" s="4" t="s">
        <v>556</v>
      </c>
      <c r="E301" s="4">
        <v>4</v>
      </c>
      <c r="F301" s="4">
        <f>NT_I!G11</f>
        <v>3</v>
      </c>
      <c r="G301" s="4">
        <f>IF(NT_I!H11&lt;&gt;"",NT_I!H11,"")</f>
      </c>
      <c r="H301" s="26">
        <f t="shared" si="16"/>
        <v>273431.22</v>
      </c>
      <c r="I301" s="4">
        <f t="shared" si="17"/>
        <v>0</v>
      </c>
      <c r="J301" s="27">
        <f>NT_I!I11</f>
        <v>3628440</v>
      </c>
      <c r="K301" s="27">
        <f>NT_I!J11</f>
        <v>2742967</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1357753.21</v>
      </c>
      <c r="I309" s="4">
        <f t="shared" si="19"/>
        <v>0</v>
      </c>
      <c r="J309" s="27">
        <f>NT_I!I19</f>
        <v>6264141</v>
      </c>
      <c r="K309" s="27">
        <f>NT_I!J19</f>
        <v>3039535</v>
      </c>
    </row>
    <row r="310" spans="4:11" ht="12.75">
      <c r="D310" s="4" t="s">
        <v>556</v>
      </c>
      <c r="E310" s="4">
        <v>4</v>
      </c>
      <c r="F310" s="4">
        <f>NT_I!G20</f>
        <v>12</v>
      </c>
      <c r="G310" s="4">
        <f>IF(NT_I!H20&lt;&gt;"",NT_I!H20,"")</f>
      </c>
      <c r="H310" s="26">
        <f t="shared" si="18"/>
        <v>894428.52</v>
      </c>
      <c r="I310" s="4">
        <f t="shared" si="19"/>
        <v>0</v>
      </c>
      <c r="J310" s="27">
        <f>NT_I!I20</f>
        <v>291013</v>
      </c>
      <c r="K310" s="27">
        <f>NT_I!J20</f>
        <v>3581279</v>
      </c>
    </row>
    <row r="311" spans="4:11" ht="12.75">
      <c r="D311" s="4" t="s">
        <v>556</v>
      </c>
      <c r="E311" s="4">
        <v>4</v>
      </c>
      <c r="F311" s="4">
        <f>NT_I!G21</f>
        <v>13</v>
      </c>
      <c r="G311" s="4">
        <f>IF(NT_I!H21&lt;&gt;"",NT_I!H21,"")</f>
      </c>
      <c r="H311" s="26">
        <f t="shared" si="18"/>
        <v>196750.19</v>
      </c>
      <c r="I311" s="4">
        <f t="shared" si="19"/>
        <v>0</v>
      </c>
      <c r="J311" s="27">
        <f>NT_I!I21</f>
        <v>235687</v>
      </c>
      <c r="K311" s="27">
        <f>NT_I!J21</f>
        <v>638888</v>
      </c>
    </row>
    <row r="312" spans="4:11" ht="12.75">
      <c r="D312" s="4" t="s">
        <v>556</v>
      </c>
      <c r="E312" s="4">
        <v>4</v>
      </c>
      <c r="F312" s="4">
        <f>NT_I!G22</f>
        <v>14</v>
      </c>
      <c r="G312" s="4">
        <f>IF(NT_I!H22&lt;&gt;"",NT_I!H22,"")</f>
      </c>
      <c r="H312" s="26">
        <f t="shared" si="18"/>
        <v>-88821.45999999999</v>
      </c>
      <c r="I312" s="4">
        <f t="shared" si="19"/>
        <v>0</v>
      </c>
      <c r="J312" s="27">
        <f>NT_I!I22</f>
        <v>234859</v>
      </c>
      <c r="K312" s="27">
        <f>NT_I!J22</f>
        <v>-434649</v>
      </c>
    </row>
    <row r="313" spans="4:11" ht="12.75">
      <c r="D313" s="4" t="s">
        <v>556</v>
      </c>
      <c r="E313" s="4">
        <v>4</v>
      </c>
      <c r="F313" s="4">
        <f>NT_I!G23</f>
        <v>15</v>
      </c>
      <c r="G313" s="4">
        <f>IF(NT_I!H23&lt;&gt;"",NT_I!H23,"")</f>
      </c>
      <c r="H313" s="26">
        <f t="shared" si="18"/>
        <v>-100918.50000000001</v>
      </c>
      <c r="I313" s="4">
        <f t="shared" si="19"/>
        <v>0</v>
      </c>
      <c r="J313" s="27">
        <f>NT_I!I23</f>
        <v>63066</v>
      </c>
      <c r="K313" s="27">
        <f>NT_I!J23</f>
        <v>-367928</v>
      </c>
    </row>
    <row r="314" spans="4:11" ht="12.75">
      <c r="D314" s="4" t="s">
        <v>556</v>
      </c>
      <c r="E314" s="4">
        <v>4</v>
      </c>
      <c r="F314" s="4">
        <f>NT_I!G24</f>
        <v>16</v>
      </c>
      <c r="G314" s="4">
        <f>IF(NT_I!H24&lt;&gt;"",NT_I!H24,"")</f>
      </c>
      <c r="H314" s="26">
        <f t="shared" si="18"/>
        <v>1159573.92</v>
      </c>
      <c r="I314" s="4">
        <f t="shared" si="19"/>
        <v>0</v>
      </c>
      <c r="J314" s="27">
        <f>NT_I!I24</f>
        <v>-242599</v>
      </c>
      <c r="K314" s="27">
        <f>NT_I!J24</f>
        <v>3744968</v>
      </c>
    </row>
    <row r="315" spans="4:11" ht="12.75">
      <c r="D315" s="4" t="s">
        <v>556</v>
      </c>
      <c r="E315" s="4">
        <v>4</v>
      </c>
      <c r="F315" s="4">
        <f>NT_I!G25</f>
        <v>17</v>
      </c>
      <c r="G315" s="4">
        <f>IF(NT_I!H25&lt;&gt;"",NT_I!H25,"")</f>
      </c>
      <c r="H315" s="26">
        <f t="shared" si="18"/>
        <v>3365452.9399999995</v>
      </c>
      <c r="I315" s="4">
        <f t="shared" si="19"/>
        <v>0</v>
      </c>
      <c r="J315" s="27">
        <f>NT_I!I25</f>
        <v>6555154</v>
      </c>
      <c r="K315" s="27">
        <f>NT_I!J25</f>
        <v>6620814</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-138315.44</v>
      </c>
      <c r="I317" s="4">
        <f t="shared" si="19"/>
        <v>0</v>
      </c>
      <c r="J317" s="27">
        <f>NT_I!I27</f>
        <v>-528216</v>
      </c>
      <c r="K317" s="27">
        <f>NT_I!J27</f>
        <v>-99880</v>
      </c>
    </row>
    <row r="318" spans="4:11" ht="12.75">
      <c r="D318" s="4" t="s">
        <v>556</v>
      </c>
      <c r="E318" s="4">
        <v>4</v>
      </c>
      <c r="F318" s="4">
        <f>NT_I!G28</f>
        <v>20</v>
      </c>
      <c r="G318" s="4">
        <f>IF(NT_I!H28&lt;&gt;"",NT_I!H28,"")</f>
      </c>
      <c r="H318" s="26">
        <f t="shared" si="18"/>
        <v>3813761.1999999993</v>
      </c>
      <c r="I318" s="4">
        <f t="shared" si="19"/>
        <v>0</v>
      </c>
      <c r="J318" s="27">
        <f>NT_I!I28</f>
        <v>6026938</v>
      </c>
      <c r="K318" s="27">
        <f>NT_I!J28</f>
        <v>6520934</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-5955830.44</v>
      </c>
      <c r="I326" s="4">
        <f t="shared" si="19"/>
        <v>0</v>
      </c>
      <c r="J326" s="27">
        <f>NT_I!I37</f>
        <v>-1931975</v>
      </c>
      <c r="K326" s="27">
        <f>NT_I!J37</f>
        <v>-9669424</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-7019371.590000001</v>
      </c>
      <c r="I331" s="4">
        <f t="shared" si="19"/>
        <v>0</v>
      </c>
      <c r="J331" s="27">
        <f>NT_I!I42</f>
        <v>-1931975</v>
      </c>
      <c r="K331" s="27">
        <f>NT_I!J42</f>
        <v>-9669424</v>
      </c>
    </row>
    <row r="332" spans="4:11" ht="12.75">
      <c r="D332" s="4" t="s">
        <v>556</v>
      </c>
      <c r="E332" s="4">
        <v>4</v>
      </c>
      <c r="F332" s="4">
        <f>NT_I!G43</f>
        <v>34</v>
      </c>
      <c r="G332" s="4">
        <f>IF(NT_I!H43&lt;&gt;"",NT_I!H43,"")</f>
      </c>
      <c r="H332" s="26">
        <f t="shared" si="18"/>
        <v>-7232079.82</v>
      </c>
      <c r="I332" s="4">
        <f t="shared" si="19"/>
        <v>0</v>
      </c>
      <c r="J332" s="27">
        <f>NT_I!I43</f>
        <v>-1931975</v>
      </c>
      <c r="K332" s="27">
        <f>NT_I!J43</f>
        <v>-9669424</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448372.29</v>
      </c>
      <c r="I335" s="4">
        <f t="shared" si="19"/>
        <v>0</v>
      </c>
      <c r="J335" s="27">
        <f>NT_I!I47</f>
        <v>1211817</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472608.63</v>
      </c>
      <c r="I337" s="4">
        <f t="shared" si="19"/>
        <v>0</v>
      </c>
      <c r="J337" s="27">
        <f>NT_I!I49</f>
        <v>1211817</v>
      </c>
      <c r="K337" s="27">
        <f>NT_I!J49</f>
        <v>0</v>
      </c>
    </row>
    <row r="338" spans="4:11" ht="12.75">
      <c r="D338" s="4" t="s">
        <v>556</v>
      </c>
      <c r="E338" s="4">
        <v>4</v>
      </c>
      <c r="F338" s="4">
        <f>NT_I!G50</f>
        <v>40</v>
      </c>
      <c r="G338" s="4">
        <f>IF(NT_I!H50&lt;&gt;"",NT_I!H50,"")</f>
      </c>
      <c r="H338" s="26">
        <f t="shared" si="18"/>
        <v>-328804.4</v>
      </c>
      <c r="I338" s="4">
        <f t="shared" si="19"/>
        <v>0</v>
      </c>
      <c r="J338" s="27">
        <f>NT_I!I50</f>
        <v>-217343</v>
      </c>
      <c r="K338" s="27">
        <f>NT_I!J50</f>
        <v>-302334</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-369904.95</v>
      </c>
      <c r="I343" s="4">
        <f t="shared" si="21"/>
        <v>0</v>
      </c>
      <c r="J343" s="27">
        <f>NT_I!I55</f>
        <v>-217343</v>
      </c>
      <c r="K343" s="27">
        <f>NT_I!J55</f>
        <v>-302334</v>
      </c>
    </row>
    <row r="344" spans="4:11" ht="12.75">
      <c r="D344" s="4" t="s">
        <v>556</v>
      </c>
      <c r="E344" s="4">
        <v>4</v>
      </c>
      <c r="F344" s="4">
        <f>NT_I!G56</f>
        <v>46</v>
      </c>
      <c r="G344" s="4">
        <f>IF(NT_I!H56&lt;&gt;"",NT_I!H56,"")</f>
      </c>
      <c r="H344" s="26">
        <f t="shared" si="20"/>
        <v>179310.75999999995</v>
      </c>
      <c r="I344" s="4">
        <f t="shared" si="21"/>
        <v>0</v>
      </c>
      <c r="J344" s="27">
        <f>NT_I!I56</f>
        <v>994474</v>
      </c>
      <c r="K344" s="27">
        <f>NT_I!J56</f>
        <v>-302334</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-869861.2799999998</v>
      </c>
      <c r="I346" s="4">
        <f t="shared" si="21"/>
        <v>0</v>
      </c>
      <c r="J346" s="27">
        <f>NT_I!I58</f>
        <v>5089437</v>
      </c>
      <c r="K346" s="27">
        <f>NT_I!J58</f>
        <v>-3450824</v>
      </c>
    </row>
    <row r="347" spans="4:11" ht="12.75">
      <c r="D347" s="4" t="s">
        <v>556</v>
      </c>
      <c r="E347" s="4">
        <v>4</v>
      </c>
      <c r="F347" s="4">
        <f>NT_I!G59</f>
        <v>49</v>
      </c>
      <c r="G347" s="4">
        <f>IF(NT_I!H59&lt;&gt;"",NT_I!H59,"")</f>
      </c>
      <c r="H347" s="26">
        <f t="shared" si="20"/>
        <v>9630122.879999999</v>
      </c>
      <c r="I347" s="4">
        <f t="shared" si="21"/>
        <v>0</v>
      </c>
      <c r="J347" s="27">
        <f>NT_I!I59</f>
        <v>3158146</v>
      </c>
      <c r="K347" s="27">
        <f>NT_I!J59</f>
        <v>8247583</v>
      </c>
    </row>
    <row r="348" spans="4:11" ht="12.75">
      <c r="D348" s="4" t="s">
        <v>556</v>
      </c>
      <c r="E348" s="4">
        <v>4</v>
      </c>
      <c r="F348" s="4">
        <f>NT_I!G60</f>
        <v>50</v>
      </c>
      <c r="G348" s="4">
        <f>IF(NT_I!H60&lt;&gt;"",NT_I!H60,"")</f>
      </c>
      <c r="H348" s="26">
        <f t="shared" si="20"/>
        <v>8920550.5</v>
      </c>
      <c r="I348" s="4">
        <f t="shared" si="21"/>
        <v>0</v>
      </c>
      <c r="J348" s="27">
        <f>NT_I!I60</f>
        <v>8247583</v>
      </c>
      <c r="K348" s="27">
        <f>NT_I!J60</f>
        <v>4796759</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11350475.49</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15469000</v>
      </c>
      <c r="K393" s="27">
        <f>PK!J10</f>
        <v>0</v>
      </c>
      <c r="L393" s="27">
        <f>PK!K10</f>
        <v>0</v>
      </c>
      <c r="M393" s="27">
        <f>PK!L10</f>
        <v>0</v>
      </c>
      <c r="N393" s="27">
        <f>PK!M10</f>
        <v>0</v>
      </c>
      <c r="O393" s="27">
        <f>PK!N10</f>
        <v>0</v>
      </c>
      <c r="P393" s="27">
        <f>PK!O10</f>
        <v>90636</v>
      </c>
      <c r="Q393" s="27">
        <f>PK!P10</f>
        <v>134125</v>
      </c>
      <c r="R393" s="27">
        <f>PK!Q10</f>
        <v>0</v>
      </c>
      <c r="S393" s="27">
        <f>PK!R10</f>
        <v>0</v>
      </c>
      <c r="T393" s="27">
        <f>PK!S10</f>
        <v>0</v>
      </c>
      <c r="U393" s="27">
        <f>PK!T10</f>
        <v>0</v>
      </c>
      <c r="V393" s="27">
        <f>PK!U10</f>
        <v>0</v>
      </c>
      <c r="W393" s="27">
        <f>PK!V10</f>
        <v>11462942</v>
      </c>
      <c r="X393" s="27">
        <f>PK!W10</f>
        <v>695143</v>
      </c>
      <c r="Y393" s="27">
        <f>PK!X10</f>
        <v>27851846</v>
      </c>
      <c r="Z393" s="27">
        <f>PK!Y10</f>
        <v>0</v>
      </c>
      <c r="AA393" s="27">
        <f>PK!Z10</f>
        <v>27851846</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11814545.490000002</v>
      </c>
      <c r="I396" s="27">
        <f t="shared" si="25"/>
        <v>0</v>
      </c>
      <c r="J396" s="27">
        <f>PK!I13</f>
        <v>15469000</v>
      </c>
      <c r="K396" s="27">
        <f>PK!J13</f>
        <v>0</v>
      </c>
      <c r="L396" s="27">
        <f>PK!K13</f>
        <v>0</v>
      </c>
      <c r="M396" s="27">
        <f>PK!L13</f>
        <v>0</v>
      </c>
      <c r="N396" s="27">
        <f>PK!M13</f>
        <v>0</v>
      </c>
      <c r="O396" s="27">
        <f>PK!N13</f>
        <v>0</v>
      </c>
      <c r="P396" s="27">
        <f>PK!O13</f>
        <v>90636</v>
      </c>
      <c r="Q396" s="27">
        <f>PK!P13</f>
        <v>134125</v>
      </c>
      <c r="R396" s="27">
        <f>PK!Q13</f>
        <v>0</v>
      </c>
      <c r="S396" s="27">
        <f>PK!R13</f>
        <v>0</v>
      </c>
      <c r="T396" s="27">
        <f>PK!S13</f>
        <v>0</v>
      </c>
      <c r="U396" s="27">
        <f>PK!T13</f>
        <v>0</v>
      </c>
      <c r="V396" s="27">
        <f>PK!U13</f>
        <v>0</v>
      </c>
      <c r="W396" s="27">
        <f>PK!V13</f>
        <v>11462942</v>
      </c>
      <c r="X396" s="27">
        <f>PK!W13</f>
        <v>695143</v>
      </c>
      <c r="Y396" s="27">
        <f>PK!X13</f>
        <v>27851846</v>
      </c>
      <c r="Z396" s="27">
        <f>PK!Y13</f>
        <v>0</v>
      </c>
      <c r="AA396" s="27">
        <f>PK!Z13</f>
        <v>27851846</v>
      </c>
    </row>
    <row r="397" spans="4:27" ht="12.75">
      <c r="D397" s="4" t="s">
        <v>795</v>
      </c>
      <c r="E397" s="4">
        <v>6</v>
      </c>
      <c r="F397" s="4">
        <f>PK!G14</f>
        <v>5</v>
      </c>
      <c r="G397" s="4">
        <f>IF(PK!H14&lt;&gt;"",PK!H14,"")</f>
      </c>
      <c r="H397" s="26">
        <f t="shared" si="24"/>
        <v>1032667.6499999999</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2107485</v>
      </c>
      <c r="Y397" s="27">
        <f>PK!X14</f>
        <v>2107485</v>
      </c>
      <c r="Z397" s="27">
        <f>PK!Y14</f>
        <v>0</v>
      </c>
      <c r="AA397" s="27">
        <f>PK!Z14</f>
        <v>2107485</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-6951.429999999993</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695143</v>
      </c>
      <c r="X414" s="27">
        <f>PK!W31</f>
        <v>-695143</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15934061.709999999</v>
      </c>
      <c r="I416" s="27">
        <f t="shared" si="25"/>
        <v>0</v>
      </c>
      <c r="J416" s="27">
        <f>PK!I33</f>
        <v>15469000</v>
      </c>
      <c r="K416" s="27">
        <f>PK!J33</f>
        <v>0</v>
      </c>
      <c r="L416" s="27">
        <f>PK!K33</f>
        <v>0</v>
      </c>
      <c r="M416" s="27">
        <f>PK!L33</f>
        <v>0</v>
      </c>
      <c r="N416" s="27">
        <f>PK!M33</f>
        <v>0</v>
      </c>
      <c r="O416" s="27">
        <f>PK!N33</f>
        <v>0</v>
      </c>
      <c r="P416" s="27">
        <f>PK!O33</f>
        <v>90636</v>
      </c>
      <c r="Q416" s="27">
        <f>PK!P33</f>
        <v>134125</v>
      </c>
      <c r="R416" s="27">
        <f>PK!Q33</f>
        <v>0</v>
      </c>
      <c r="S416" s="27">
        <f>PK!R33</f>
        <v>0</v>
      </c>
      <c r="T416" s="27">
        <f>PK!S33</f>
        <v>0</v>
      </c>
      <c r="U416" s="27">
        <f>PK!T33</f>
        <v>0</v>
      </c>
      <c r="V416" s="27">
        <f>PK!U33</f>
        <v>0</v>
      </c>
      <c r="W416" s="27">
        <f>PK!V33</f>
        <v>12158085</v>
      </c>
      <c r="X416" s="27">
        <f>PK!W33</f>
        <v>2107485</v>
      </c>
      <c r="Y416" s="27">
        <f>PK!X33</f>
        <v>29959331</v>
      </c>
      <c r="Z416" s="27">
        <f>PK!Y33</f>
        <v>0</v>
      </c>
      <c r="AA416" s="27">
        <f>PK!Z33</f>
        <v>29959331</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16552821.709999999</v>
      </c>
      <c r="I420" s="27">
        <f t="shared" si="25"/>
        <v>0</v>
      </c>
      <c r="J420" s="27">
        <f>PK!I39</f>
        <v>15469000</v>
      </c>
      <c r="K420" s="27">
        <f>PK!J39</f>
        <v>0</v>
      </c>
      <c r="L420" s="27">
        <f>PK!K39</f>
        <v>0</v>
      </c>
      <c r="M420" s="27">
        <f>PK!L39</f>
        <v>0</v>
      </c>
      <c r="N420" s="27">
        <f>PK!M39</f>
        <v>0</v>
      </c>
      <c r="O420" s="27">
        <f>PK!N39</f>
        <v>0</v>
      </c>
      <c r="P420" s="27">
        <f>PK!O39</f>
        <v>90636</v>
      </c>
      <c r="Q420" s="27">
        <f>PK!P39</f>
        <v>134125</v>
      </c>
      <c r="R420" s="27">
        <f>PK!Q39</f>
        <v>0</v>
      </c>
      <c r="S420" s="27">
        <f>PK!R39</f>
        <v>0</v>
      </c>
      <c r="T420" s="27">
        <f>PK!S39</f>
        <v>0</v>
      </c>
      <c r="U420" s="27">
        <f>PK!T39</f>
        <v>0</v>
      </c>
      <c r="V420" s="27">
        <f>PK!U39</f>
        <v>0</v>
      </c>
      <c r="W420" s="27">
        <f>PK!V39</f>
        <v>12158085</v>
      </c>
      <c r="X420" s="27">
        <f>PK!W39</f>
        <v>2107485</v>
      </c>
      <c r="Y420" s="27">
        <f>PK!X39</f>
        <v>29959331</v>
      </c>
      <c r="Z420" s="27">
        <f>PK!Y39</f>
        <v>0</v>
      </c>
      <c r="AA420" s="27">
        <f>PK!Z39</f>
        <v>29959331</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17016891.71</v>
      </c>
      <c r="I423" s="27">
        <f t="shared" si="25"/>
        <v>0</v>
      </c>
      <c r="J423" s="27">
        <f>PK!I42</f>
        <v>15469000</v>
      </c>
      <c r="K423" s="27">
        <f>PK!J42</f>
        <v>0</v>
      </c>
      <c r="L423" s="27">
        <f>PK!K42</f>
        <v>0</v>
      </c>
      <c r="M423" s="27">
        <f>PK!L42</f>
        <v>0</v>
      </c>
      <c r="N423" s="27">
        <f>PK!M42</f>
        <v>0</v>
      </c>
      <c r="O423" s="27">
        <f>PK!N42</f>
        <v>0</v>
      </c>
      <c r="P423" s="27">
        <f>PK!O42</f>
        <v>90636</v>
      </c>
      <c r="Q423" s="27">
        <f>PK!P42</f>
        <v>134125</v>
      </c>
      <c r="R423" s="27">
        <f>PK!Q42</f>
        <v>0</v>
      </c>
      <c r="S423" s="27">
        <f>PK!R42</f>
        <v>0</v>
      </c>
      <c r="T423" s="27">
        <f>PK!S42</f>
        <v>0</v>
      </c>
      <c r="U423" s="27">
        <f>PK!T42</f>
        <v>0</v>
      </c>
      <c r="V423" s="27">
        <f>PK!U42</f>
        <v>0</v>
      </c>
      <c r="W423" s="27">
        <f>PK!V42</f>
        <v>12158085</v>
      </c>
      <c r="X423" s="27">
        <f>PK!W42</f>
        <v>2107485</v>
      </c>
      <c r="Y423" s="27">
        <f>PK!X42</f>
        <v>29959331</v>
      </c>
      <c r="Z423" s="27">
        <f>PK!Y42</f>
        <v>0</v>
      </c>
      <c r="AA423" s="27">
        <f>PK!Z42</f>
        <v>29959331</v>
      </c>
    </row>
    <row r="424" spans="4:27" ht="12.75">
      <c r="D424" s="4" t="s">
        <v>795</v>
      </c>
      <c r="E424" s="4">
        <v>6</v>
      </c>
      <c r="F424" s="4">
        <f>PK!G43</f>
        <v>32</v>
      </c>
      <c r="G424" s="4">
        <f>IF(PK!H43&lt;&gt;"",PK!H43,"")</f>
      </c>
      <c r="H424" s="26">
        <f t="shared" si="24"/>
        <v>96377.12</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196688</v>
      </c>
      <c r="Y424" s="27">
        <f>PK!X43</f>
        <v>196688</v>
      </c>
      <c r="Z424" s="27">
        <f>PK!Y43</f>
        <v>0</v>
      </c>
      <c r="AA424" s="27">
        <f>PK!Z43</f>
        <v>196688</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-21074.849999999977</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2107485</v>
      </c>
      <c r="X441" s="27">
        <f>PK!W60</f>
        <v>-2107485</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20185993.979999997</v>
      </c>
      <c r="I443" s="27">
        <f t="shared" si="25"/>
        <v>0</v>
      </c>
      <c r="J443" s="27">
        <f>PK!I62</f>
        <v>15469000</v>
      </c>
      <c r="K443" s="27">
        <f>PK!J62</f>
        <v>0</v>
      </c>
      <c r="L443" s="27">
        <f>PK!K62</f>
        <v>0</v>
      </c>
      <c r="M443" s="27">
        <f>PK!L62</f>
        <v>0</v>
      </c>
      <c r="N443" s="27">
        <f>PK!M62</f>
        <v>0</v>
      </c>
      <c r="O443" s="27">
        <f>PK!N62</f>
        <v>0</v>
      </c>
      <c r="P443" s="27">
        <f>PK!O62</f>
        <v>90636</v>
      </c>
      <c r="Q443" s="27">
        <f>PK!P62</f>
        <v>134125</v>
      </c>
      <c r="R443" s="27">
        <f>PK!Q62</f>
        <v>0</v>
      </c>
      <c r="S443" s="27">
        <f>PK!R62</f>
        <v>0</v>
      </c>
      <c r="T443" s="27">
        <f>PK!S62</f>
        <v>0</v>
      </c>
      <c r="U443" s="27">
        <f>PK!T62</f>
        <v>0</v>
      </c>
      <c r="V443" s="27">
        <f>PK!U62</f>
        <v>0</v>
      </c>
      <c r="W443" s="27">
        <f>PK!V62</f>
        <v>14265570</v>
      </c>
      <c r="X443" s="27">
        <f>PK!W62</f>
        <v>196688</v>
      </c>
      <c r="Y443" s="27">
        <f>PK!X62</f>
        <v>30156019</v>
      </c>
      <c r="Z443" s="27">
        <f>PK!Y62</f>
        <v>0</v>
      </c>
      <c r="AA443" s="27">
        <f>PK!Z62</f>
        <v>30156019</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48" activePane="bottomLeft" state="frozen"/>
      <selection pane="topLeft" activeCell="A2" sqref="A2"/>
      <selection pane="bottomLeft" activeCell="C51" sqref="C51:J5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KOMUNALAC POŽEGA d.o.o.</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3</v>
      </c>
      <c r="T3" s="206" t="s">
        <v>614</v>
      </c>
      <c r="U3" s="224" t="str">
        <f>RefStr!L21</f>
        <v>75897840685</v>
      </c>
      <c r="V3" s="206" t="s">
        <v>2736</v>
      </c>
      <c r="W3" s="224">
        <f>RefStr!C31</f>
        <v>34000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99740428762</v>
      </c>
      <c r="V4" s="206" t="s">
        <v>2737</v>
      </c>
      <c r="W4" s="224" t="str">
        <f>RefStr!F31</f>
        <v>POŽEGA</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1</v>
      </c>
      <c r="P5" s="207">
        <f>NT_I!Q2</f>
        <v>1</v>
      </c>
      <c r="Q5" s="224">
        <f>NT_I!Q3</f>
        <v>1</v>
      </c>
      <c r="R5" s="206" t="s">
        <v>2888</v>
      </c>
      <c r="S5" s="224">
        <f>IF(RefStr!C19&lt;&gt;"",IF(ISERROR(INT(RefStr!C19)),0,RefStr!C19),0)</f>
        <v>2</v>
      </c>
      <c r="T5" s="206" t="s">
        <v>1560</v>
      </c>
      <c r="U5" s="224" t="str">
        <f>RefStr!H27</f>
        <v>04156510</v>
      </c>
      <c r="V5" s="206" t="s">
        <v>2738</v>
      </c>
      <c r="W5" s="224" t="str">
        <f>RefStr!C33</f>
        <v>VUKOVARSKA 8</v>
      </c>
      <c r="X5" s="226" t="s">
        <v>2929</v>
      </c>
      <c r="Y5" s="227" t="str">
        <f>RefStr!I62</f>
        <v>DA</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030141269</v>
      </c>
      <c r="V6" s="206" t="s">
        <v>2968</v>
      </c>
      <c r="W6" s="224" t="str">
        <f>RefStr!L35</f>
        <v>034/316-863</v>
      </c>
      <c r="X6" s="206" t="s">
        <v>2926</v>
      </c>
      <c r="Y6" s="224" t="str">
        <f>RefStr!C68</f>
        <v>MARIJANA PUNTARIĆ</v>
      </c>
      <c r="Z6" s="206" t="s">
        <v>2952</v>
      </c>
      <c r="AA6" s="224">
        <f>RefStr!C46</f>
        <v>0</v>
      </c>
    </row>
    <row r="7" spans="1:27" ht="13.5" customHeight="1">
      <c r="A7" s="505"/>
      <c r="B7" s="506"/>
      <c r="C7" s="506"/>
      <c r="D7" s="506"/>
      <c r="E7" s="506"/>
      <c r="F7" s="506"/>
      <c r="G7" s="506"/>
      <c r="H7" s="506"/>
      <c r="I7" s="214" t="s">
        <v>211</v>
      </c>
      <c r="J7" s="216">
        <f>SUM(M12:M122)</f>
        <v>0</v>
      </c>
      <c r="N7" s="203" t="s">
        <v>795</v>
      </c>
      <c r="O7" s="206">
        <f>PK!AC1</f>
        <v>1</v>
      </c>
      <c r="P7" s="207">
        <f>PK!AC2</f>
        <v>1</v>
      </c>
      <c r="Q7" s="224">
        <f>PK!AC3</f>
        <v>1</v>
      </c>
      <c r="R7" s="206" t="s">
        <v>2969</v>
      </c>
      <c r="S7" s="224">
        <f>IF(RefStr!C44&lt;&gt;"",IF(ISERROR(INT(RefStr!C44)),0,RefStr!C44),0)</f>
        <v>1</v>
      </c>
      <c r="T7" s="206" t="s">
        <v>916</v>
      </c>
      <c r="U7" s="224">
        <f>RefStr!C7</f>
        <v>5</v>
      </c>
      <c r="V7" s="206" t="s">
        <v>2884</v>
      </c>
      <c r="W7" s="224" t="str">
        <f>TRIM(UPPER(RefStr!C35))</f>
        <v>INFO@KOMUNALAC-POZEGA.HR</v>
      </c>
      <c r="X7" s="206" t="s">
        <v>2927</v>
      </c>
      <c r="Y7" s="224" t="str">
        <f>RefStr!C70</f>
        <v>034-316-863</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3811</v>
      </c>
      <c r="X8" s="206" t="s">
        <v>2928</v>
      </c>
      <c r="Y8" s="224" t="str">
        <f>TRIM(UPPER(RefStr!C72))</f>
        <v>MARIJANA.PUNTARIC@KOMUNALAC-POZEGA.HR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101</v>
      </c>
      <c r="Q9" s="223">
        <f>RefStr!F58</f>
        <v>99</v>
      </c>
      <c r="R9" s="206" t="s">
        <v>914</v>
      </c>
      <c r="S9" s="224">
        <f>IF(RefStr!F4&lt;&gt;"",RefStr!F4,0)</f>
        <v>44926</v>
      </c>
      <c r="T9" s="206" t="s">
        <v>891</v>
      </c>
      <c r="U9" s="224">
        <f>RefStr!C39</f>
        <v>351</v>
      </c>
      <c r="V9" s="206" t="s">
        <v>2951</v>
      </c>
      <c r="W9" s="224" t="str">
        <f>RefStr!D42</f>
        <v>Skupljanje neopasnog otpada</v>
      </c>
      <c r="X9" s="230" t="s">
        <v>1782</v>
      </c>
      <c r="Y9" s="231" t="str">
        <f>RefStr!I66</f>
        <v>DA</v>
      </c>
      <c r="Z9" s="228" t="s">
        <v>1781</v>
      </c>
      <c r="AA9" s="229" t="str">
        <f>RefStr!I64</f>
        <v>DA</v>
      </c>
    </row>
    <row r="10" spans="1:27" ht="13.5" customHeight="1">
      <c r="A10" s="516"/>
      <c r="B10" s="516"/>
      <c r="C10" s="516"/>
      <c r="D10" s="516"/>
      <c r="E10" s="516"/>
      <c r="F10" s="516"/>
      <c r="G10" s="516"/>
      <c r="H10" s="516"/>
      <c r="I10" s="516"/>
      <c r="J10" s="516"/>
      <c r="L10" s="190"/>
      <c r="M10" s="190"/>
      <c r="O10" s="222" t="s">
        <v>1998</v>
      </c>
      <c r="P10" s="208">
        <f>RefStr!C56</f>
        <v>126</v>
      </c>
      <c r="Q10" s="225">
        <f>RefStr!F56</f>
        <v>128</v>
      </c>
      <c r="R10" s="208" t="s">
        <v>917</v>
      </c>
      <c r="S10" s="225">
        <f>RefStr!C23</f>
        <v>1</v>
      </c>
      <c r="T10" s="208" t="s">
        <v>2973</v>
      </c>
      <c r="U10" s="225" t="str">
        <f>RefStr!D39</f>
        <v>Požega</v>
      </c>
      <c r="V10" s="232"/>
      <c r="W10" s="233"/>
      <c r="X10" s="234" t="s">
        <v>2279</v>
      </c>
      <c r="Y10" s="235">
        <f>RefStr!F12</f>
        <v>2022</v>
      </c>
      <c r="Z10" s="208" t="s">
        <v>1771</v>
      </c>
      <c r="AA10" s="225" t="str">
        <f>RefStr!A75</f>
        <v>DOMAGOJ LOVRIĆ mag. ing. mech.</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1"/>
      <c r="E50" s="491"/>
      <c r="F50" s="491"/>
      <c r="G50" s="491"/>
      <c r="H50" s="491"/>
      <c r="I50" s="491"/>
      <c r="J50" s="491"/>
      <c r="L50" s="190">
        <f>IF(N50&lt;&gt;S3,1,0)</f>
        <v>0</v>
      </c>
      <c r="M50" s="190"/>
      <c r="N50" s="190">
        <f>IF(P8&gt;0,O50,AC50)</f>
        <v>3</v>
      </c>
      <c r="O50" s="194">
        <f>IF(SUM(Y50:AA50)&gt;1,4,IF(SUM(U50:W50)&gt;1,3,IF(SUM(Q50:S50)&gt;1,2,IF(S6="DA",2,1))))</f>
        <v>3</v>
      </c>
      <c r="P50" s="197" t="s">
        <v>1794</v>
      </c>
      <c r="Q50" s="197">
        <f>IF(Bilanca!I73&gt;2600000,1,0)</f>
        <v>1</v>
      </c>
      <c r="R50" s="196">
        <f>IF(RDG!I60&gt;5200000,1,0)</f>
        <v>1</v>
      </c>
      <c r="S50" s="196">
        <f>IF(P10&gt;10,1,0)</f>
        <v>1</v>
      </c>
      <c r="T50" s="196" t="s">
        <v>2256</v>
      </c>
      <c r="U50" s="196">
        <f>IF(Bilanca!I73&gt;30000000,1,0)</f>
        <v>1</v>
      </c>
      <c r="V50" s="196">
        <f>IF(RDG!I60&gt;60000000,1,0)</f>
        <v>0</v>
      </c>
      <c r="W50" s="196">
        <f>IF(P10&gt;50,1,0)</f>
        <v>1</v>
      </c>
      <c r="X50" s="196" t="s">
        <v>2257</v>
      </c>
      <c r="Y50" s="196">
        <f>IF(Bilanca!I73&gt;150000000,1,0)</f>
        <v>0</v>
      </c>
      <c r="Z50" s="196">
        <f>IF(RDG!I60&gt;300000000,1,0)</f>
        <v>0</v>
      </c>
      <c r="AA50" s="196">
        <f>IF(P10&gt;250,1,0)</f>
        <v>0</v>
      </c>
      <c r="AC50" s="194">
        <f>IF(SUM(AM50:AO50)&gt;1,4,IF(SUM(AI50:AK50)&gt;1,3,IF(SUM(AE50:AG50)&gt;1,2,IF(S6="DA",2,1))))</f>
        <v>3</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0</v>
      </c>
      <c r="AK50" s="196">
        <f>IF(Q10&gt;50,1,0)</f>
        <v>1</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1</v>
      </c>
      <c r="AA52" s="217">
        <f>IF(Bilanca!I73&gt;15000000,1,0)</f>
        <v>1</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G:\KOMUNALAC\01. LIDIJA RADNI DOKUMENTI\03. OBJAVE\2023\IZVJEŠĆA I IZVRŠENJA\[GFI-POD Godišnji financijski izvještaj poduzetnika -javna objava.xls]RefStr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E14" sqref="E14"/>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44562</v>
      </c>
      <c r="D4" s="345"/>
      <c r="E4" s="7" t="s">
        <v>560</v>
      </c>
      <c r="F4" s="344">
        <v>44926</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5</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2022</v>
      </c>
      <c r="G12" s="370"/>
      <c r="H12" s="362" t="s">
        <v>1983</v>
      </c>
      <c r="I12" s="363"/>
      <c r="J12" s="363"/>
      <c r="K12" s="152"/>
      <c r="L12" s="152"/>
      <c r="M12" s="152"/>
      <c r="N12" s="152"/>
      <c r="P12" s="50" t="s">
        <v>1561</v>
      </c>
      <c r="Q12" s="51">
        <f>INT(VALUE(H27))/10</f>
        <v>415651</v>
      </c>
    </row>
    <row r="13" spans="4:17" ht="9.75" customHeight="1">
      <c r="D13" s="152"/>
      <c r="E13" s="158"/>
      <c r="H13" s="23"/>
      <c r="I13" s="159"/>
      <c r="J13" s="159"/>
      <c r="K13" s="152"/>
      <c r="L13" s="152"/>
      <c r="M13" s="152"/>
      <c r="N13" s="152"/>
      <c r="P13" s="50" t="s">
        <v>1561</v>
      </c>
      <c r="Q13" s="51">
        <f>INT(VALUE(M27))/50</f>
        <v>602825.38</v>
      </c>
    </row>
    <row r="14" spans="1:17" ht="15">
      <c r="A14" s="377" t="s">
        <v>1312</v>
      </c>
      <c r="B14" s="377"/>
      <c r="C14" s="377"/>
      <c r="D14" s="160"/>
      <c r="E14" s="161"/>
      <c r="F14" s="375"/>
      <c r="G14" s="376"/>
      <c r="H14" s="376"/>
      <c r="I14" s="152"/>
      <c r="J14" s="367" t="s">
        <v>1978</v>
      </c>
      <c r="K14" s="368"/>
      <c r="L14" s="368"/>
      <c r="M14" s="368"/>
      <c r="N14" s="368"/>
      <c r="P14" s="50" t="s">
        <v>1316</v>
      </c>
      <c r="Q14" s="51">
        <f>INT(VALUE(C27))/100</f>
        <v>997404287.62</v>
      </c>
    </row>
    <row r="15" spans="1:17" ht="19.5" customHeight="1">
      <c r="A15" s="364">
        <f>Skriveni!B59</f>
        <v>3167572078.2099996</v>
      </c>
      <c r="B15" s="365"/>
      <c r="C15" s="366"/>
      <c r="D15" s="56"/>
      <c r="E15" s="56"/>
      <c r="F15" s="56"/>
      <c r="G15" s="56"/>
      <c r="H15" s="56"/>
      <c r="I15" s="56"/>
      <c r="J15" s="56"/>
      <c r="K15" s="56"/>
      <c r="L15" s="56"/>
      <c r="M15" s="56"/>
      <c r="N15" s="56"/>
      <c r="P15" s="50" t="s">
        <v>887</v>
      </c>
      <c r="Q15" s="51">
        <f>LEN(Skriveni!B9)</f>
        <v>23</v>
      </c>
    </row>
    <row r="16" spans="4:17" ht="12.75" customHeight="1">
      <c r="D16" s="56"/>
      <c r="E16" s="56"/>
      <c r="F16" s="56"/>
      <c r="G16" s="56"/>
      <c r="H16" s="56"/>
      <c r="I16" s="56"/>
      <c r="P16" s="50" t="s">
        <v>888</v>
      </c>
      <c r="Q16" s="51">
        <f>INT(VALUE(C31))/100</f>
        <v>340</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6</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2</v>
      </c>
      <c r="D19" s="380" t="str">
        <f>IF(C19="","Upišite svrhu predaje",IF(ISNA(LOOKUP(C19,A118:A120,A118:A120)),"Nepostojeća ili neprepoznatljiva svrha predaje",IF(LOOKUP(C19,A118:A120,A118:A120)&lt;&gt;C19,"Nepostojeća ili neprepoznatljiva svrha predaje",LOOKUP(C19,A118:A120,B118:B120))))</f>
        <v>Predaja samo u svrhu javne objave</v>
      </c>
      <c r="E19" s="321"/>
      <c r="F19" s="321"/>
      <c r="G19" s="321"/>
      <c r="H19" s="321"/>
      <c r="I19" s="317" t="s">
        <v>198</v>
      </c>
      <c r="J19" s="379"/>
      <c r="K19" s="379"/>
      <c r="L19" s="379"/>
      <c r="M19" s="379"/>
      <c r="N19" s="32" t="s">
        <v>2982</v>
      </c>
      <c r="P19" s="50" t="s">
        <v>890</v>
      </c>
      <c r="Q19" s="51">
        <f>LEN(Skriveni!B12)</f>
        <v>12</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1587</v>
      </c>
      <c r="J21" s="378" t="s">
        <v>1988</v>
      </c>
      <c r="K21" s="379"/>
      <c r="L21" s="288" t="s">
        <v>3022</v>
      </c>
      <c r="M21" s="319"/>
      <c r="N21" s="290"/>
      <c r="P21" s="50" t="s">
        <v>891</v>
      </c>
      <c r="Q21" s="51">
        <f>INT(VALUE(C39))</f>
        <v>351</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3811</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2983</v>
      </c>
      <c r="D27" s="289"/>
      <c r="E27" s="290"/>
      <c r="F27" s="280" t="s">
        <v>2787</v>
      </c>
      <c r="G27" s="307"/>
      <c r="H27" s="288" t="s">
        <v>2984</v>
      </c>
      <c r="I27" s="305"/>
      <c r="J27" s="280" t="s">
        <v>1977</v>
      </c>
      <c r="K27" s="281"/>
      <c r="L27" s="306"/>
      <c r="M27" s="288" t="s">
        <v>2985</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2986</v>
      </c>
      <c r="D29" s="303"/>
      <c r="E29" s="303"/>
      <c r="F29" s="303"/>
      <c r="G29" s="303"/>
      <c r="H29" s="303"/>
      <c r="I29" s="303"/>
      <c r="J29" s="303"/>
      <c r="K29" s="303"/>
      <c r="L29" s="304"/>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34000</v>
      </c>
      <c r="D31" s="328" t="s">
        <v>929</v>
      </c>
      <c r="E31" s="329"/>
      <c r="F31" s="302" t="s">
        <v>2987</v>
      </c>
      <c r="G31" s="330"/>
      <c r="H31" s="330"/>
      <c r="I31" s="330"/>
      <c r="J31" s="330"/>
      <c r="K31" s="330"/>
      <c r="L31" s="331"/>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2988</v>
      </c>
      <c r="D33" s="303"/>
      <c r="E33" s="303"/>
      <c r="F33" s="303"/>
      <c r="G33" s="303"/>
      <c r="H33" s="303"/>
      <c r="I33" s="303"/>
      <c r="J33" s="303"/>
      <c r="K33" s="303"/>
      <c r="L33" s="304"/>
      <c r="M33" s="56"/>
      <c r="N33" s="56"/>
      <c r="P33" s="50" t="s">
        <v>894</v>
      </c>
      <c r="Q33" s="51">
        <f>INT(VALUE(Skriveni!B21))</f>
        <v>2</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2989</v>
      </c>
      <c r="D35" s="383"/>
      <c r="E35" s="383"/>
      <c r="F35" s="383"/>
      <c r="G35" s="383"/>
      <c r="H35" s="383"/>
      <c r="I35" s="384"/>
      <c r="J35" s="277" t="s">
        <v>1750</v>
      </c>
      <c r="K35" s="317"/>
      <c r="L35" s="288" t="s">
        <v>2991</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2990</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351</v>
      </c>
      <c r="D39" s="278" t="str">
        <f>IF(C39="","Upišite šifru grada/općine",IF(ISNA(LOOKUP(C39,A177:A732,A177:A732)),"Šifra grada/općine ne postoji",IF(LOOKUP(C39,A177:A732,A177:A732)&lt;&gt;C39,"Šifra grada/općine ne postoji",LOOKUP(C39,A177:A732,B177:B732))))</f>
        <v>Požega</v>
      </c>
      <c r="E39" s="323"/>
      <c r="F39" s="323"/>
      <c r="G39" s="323"/>
      <c r="H39" s="287" t="s">
        <v>2109</v>
      </c>
      <c r="I39" s="306"/>
      <c r="J39" s="54">
        <f>IF(C39&gt;0,LOOKUP(C39,A177:A732,C177:C732),"")</f>
        <v>11</v>
      </c>
      <c r="K39" s="332" t="str">
        <f>IF(J39="","Upišite šifru grada/općine",LOOKUP(J39,A153:A173,B153:B173))</f>
        <v>POŽEŠKO-SLAVONSKA</v>
      </c>
      <c r="L39" s="332"/>
      <c r="M39" s="332"/>
      <c r="N39" s="332"/>
      <c r="P39" s="50" t="s">
        <v>896</v>
      </c>
      <c r="Q39" s="51">
        <f>C56+2*F56+3*C58+4*F58</f>
        <v>1081</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2350</v>
      </c>
      <c r="D42" s="320" t="str">
        <f>IF(C42="","Upišite šifru razreda glavne djelatnosti",IF(ISNA(LOOKUP(C42,A736:A1351,A736:A1351)),"Šifra NKD-a ne postoji",IF(LOOKUP(C42,A736:A1351,A736:A1351)&lt;&gt;C42,"Šifra NKD-a ne postoji",LOOKUP(C42,A736:A1351,B736:B1351))))</f>
        <v>Skupljanje neopasnog otpada</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30</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758978406.85</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3</v>
      </c>
      <c r="D50" s="274" t="str">
        <f>IF(C50="","Upišite oznaku veličine",IF(ISNA(LOOKUP(C50,A124:A127,A124:A127)),"Nepostojeća oznaka veličine",IF(LOOKUP(C50,A124:A127,A124:A127)&lt;&gt;C50,"Nepostojeća oznaka veličine",LOOKUP(C50,A124:A127,B124:B127))))</f>
        <v>Srednji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NE</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126</v>
      </c>
      <c r="D56" s="326" t="s">
        <v>2653</v>
      </c>
      <c r="E56" s="327"/>
      <c r="F56" s="40">
        <v>128</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101</v>
      </c>
      <c r="D58" s="314" t="s">
        <v>2653</v>
      </c>
      <c r="E58" s="314"/>
      <c r="F58" s="40">
        <v>99</v>
      </c>
      <c r="G58" s="314" t="s">
        <v>2654</v>
      </c>
      <c r="H58" s="314"/>
      <c r="I58" s="5" t="str">
        <f>IF(OR(NT_I!Q1&lt;&gt;0,NT_D!Q1&lt;&gt;0),"DA","NE")</f>
        <v>DA</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DA</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1587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1587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2992</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2993</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2994</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2995</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16" activePane="bottomLeft" state="frozen"/>
      <selection pane="topLeft" activeCell="A1" sqref="A1"/>
      <selection pane="bottomLeft" activeCell="J97" sqref="J97"/>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99740428762; KOMUNALAC POŽEGA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t="s">
        <v>2996</v>
      </c>
      <c r="I10" s="66">
        <f>I11+I18+I28+I39+I44</f>
        <v>20925341</v>
      </c>
      <c r="J10" s="66">
        <f>J11+J18+J28+J39+J44</f>
        <v>27940043</v>
      </c>
    </row>
    <row r="11" spans="1:10" ht="13.5" customHeight="1">
      <c r="A11" s="386" t="s">
        <v>904</v>
      </c>
      <c r="B11" s="386"/>
      <c r="C11" s="386"/>
      <c r="D11" s="386"/>
      <c r="E11" s="386"/>
      <c r="F11" s="386"/>
      <c r="G11" s="15">
        <v>3</v>
      </c>
      <c r="H11" s="16" t="s">
        <v>2996</v>
      </c>
      <c r="I11" s="66">
        <f>SUM(I12:I17)</f>
        <v>636062</v>
      </c>
      <c r="J11" s="66">
        <f>SUM(J12:J17)</f>
        <v>596753</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c r="J13" s="67"/>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t="s">
        <v>2996</v>
      </c>
      <c r="I17" s="67">
        <v>636062</v>
      </c>
      <c r="J17" s="67">
        <v>596753</v>
      </c>
    </row>
    <row r="18" spans="1:10" ht="13.5" customHeight="1">
      <c r="A18" s="386" t="s">
        <v>965</v>
      </c>
      <c r="B18" s="386"/>
      <c r="C18" s="386"/>
      <c r="D18" s="386"/>
      <c r="E18" s="386"/>
      <c r="F18" s="386"/>
      <c r="G18" s="15">
        <v>10</v>
      </c>
      <c r="H18" s="16" t="s">
        <v>2996</v>
      </c>
      <c r="I18" s="66">
        <f>SUM(I19:I27)</f>
        <v>20289279</v>
      </c>
      <c r="J18" s="66">
        <f>SUM(J19:J27)</f>
        <v>27343290</v>
      </c>
    </row>
    <row r="19" spans="1:10" ht="13.5" customHeight="1">
      <c r="A19" s="385" t="s">
        <v>733</v>
      </c>
      <c r="B19" s="385"/>
      <c r="C19" s="385"/>
      <c r="D19" s="385"/>
      <c r="E19" s="385"/>
      <c r="F19" s="385"/>
      <c r="G19" s="15">
        <v>11</v>
      </c>
      <c r="H19" s="16" t="s">
        <v>2996</v>
      </c>
      <c r="I19" s="67">
        <v>4085413</v>
      </c>
      <c r="J19" s="67">
        <v>4085413</v>
      </c>
    </row>
    <row r="20" spans="1:10" ht="13.5" customHeight="1">
      <c r="A20" s="385" t="s">
        <v>796</v>
      </c>
      <c r="B20" s="385"/>
      <c r="C20" s="385"/>
      <c r="D20" s="385"/>
      <c r="E20" s="385"/>
      <c r="F20" s="385"/>
      <c r="G20" s="15">
        <v>12</v>
      </c>
      <c r="H20" s="16" t="s">
        <v>2996</v>
      </c>
      <c r="I20" s="67">
        <v>12327969</v>
      </c>
      <c r="J20" s="67">
        <v>10985470</v>
      </c>
    </row>
    <row r="21" spans="1:10" ht="13.5" customHeight="1">
      <c r="A21" s="385" t="s">
        <v>734</v>
      </c>
      <c r="B21" s="385"/>
      <c r="C21" s="385"/>
      <c r="D21" s="385"/>
      <c r="E21" s="385"/>
      <c r="F21" s="385"/>
      <c r="G21" s="15">
        <v>13</v>
      </c>
      <c r="H21" s="16" t="s">
        <v>2996</v>
      </c>
      <c r="I21" s="67">
        <v>463016</v>
      </c>
      <c r="J21" s="67">
        <v>1549804</v>
      </c>
    </row>
    <row r="22" spans="1:10" ht="13.5" customHeight="1">
      <c r="A22" s="385" t="s">
        <v>405</v>
      </c>
      <c r="B22" s="385"/>
      <c r="C22" s="385"/>
      <c r="D22" s="385"/>
      <c r="E22" s="385"/>
      <c r="F22" s="385"/>
      <c r="G22" s="15">
        <v>14</v>
      </c>
      <c r="H22" s="16" t="s">
        <v>2996</v>
      </c>
      <c r="I22" s="67">
        <v>1536312</v>
      </c>
      <c r="J22" s="67">
        <v>2551787</v>
      </c>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t="s">
        <v>2996</v>
      </c>
      <c r="I25" s="67">
        <v>840597</v>
      </c>
      <c r="J25" s="67">
        <v>7179469</v>
      </c>
    </row>
    <row r="26" spans="1:10" ht="13.5" customHeight="1">
      <c r="A26" s="385" t="s">
        <v>2693</v>
      </c>
      <c r="B26" s="385"/>
      <c r="C26" s="385"/>
      <c r="D26" s="385"/>
      <c r="E26" s="385"/>
      <c r="F26" s="385"/>
      <c r="G26" s="15">
        <v>18</v>
      </c>
      <c r="H26" s="16"/>
      <c r="I26" s="67"/>
      <c r="J26" s="67"/>
    </row>
    <row r="27" spans="1:10" ht="13.5" customHeight="1">
      <c r="A27" s="385" t="s">
        <v>2694</v>
      </c>
      <c r="B27" s="385"/>
      <c r="C27" s="385"/>
      <c r="D27" s="385"/>
      <c r="E27" s="385"/>
      <c r="F27" s="385"/>
      <c r="G27" s="15">
        <v>19</v>
      </c>
      <c r="H27" s="16" t="s">
        <v>2996</v>
      </c>
      <c r="I27" s="67">
        <v>1035972</v>
      </c>
      <c r="J27" s="67">
        <v>991347</v>
      </c>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c r="J43" s="67"/>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13799341</v>
      </c>
      <c r="J45" s="66">
        <f>J46+J54+J61+J71</f>
        <v>11151094</v>
      </c>
    </row>
    <row r="46" spans="1:10" ht="13.5" customHeight="1">
      <c r="A46" s="386" t="s">
        <v>1264</v>
      </c>
      <c r="B46" s="386"/>
      <c r="C46" s="386"/>
      <c r="D46" s="386"/>
      <c r="E46" s="386"/>
      <c r="F46" s="386"/>
      <c r="G46" s="15">
        <v>38</v>
      </c>
      <c r="H46" s="16" t="s">
        <v>3020</v>
      </c>
      <c r="I46" s="66">
        <f>SUM(I47:I53)</f>
        <v>1163365</v>
      </c>
      <c r="J46" s="66">
        <f>SUM(J47:J53)</f>
        <v>1531293</v>
      </c>
    </row>
    <row r="47" spans="1:10" ht="13.5" customHeight="1">
      <c r="A47" s="385" t="s">
        <v>1892</v>
      </c>
      <c r="B47" s="385"/>
      <c r="C47" s="385"/>
      <c r="D47" s="385"/>
      <c r="E47" s="385"/>
      <c r="F47" s="385"/>
      <c r="G47" s="15">
        <v>39</v>
      </c>
      <c r="H47" s="16" t="s">
        <v>3020</v>
      </c>
      <c r="I47" s="67">
        <v>718309</v>
      </c>
      <c r="J47" s="67">
        <v>1052550</v>
      </c>
    </row>
    <row r="48" spans="1:10" ht="13.5" customHeight="1">
      <c r="A48" s="385" t="s">
        <v>1893</v>
      </c>
      <c r="B48" s="385"/>
      <c r="C48" s="385"/>
      <c r="D48" s="385"/>
      <c r="E48" s="385"/>
      <c r="F48" s="385"/>
      <c r="G48" s="15">
        <v>40</v>
      </c>
      <c r="H48" s="16" t="s">
        <v>3020</v>
      </c>
      <c r="I48" s="67">
        <v>123164</v>
      </c>
      <c r="J48" s="67">
        <v>126826</v>
      </c>
    </row>
    <row r="49" spans="1:10" ht="13.5" customHeight="1">
      <c r="A49" s="385" t="s">
        <v>1894</v>
      </c>
      <c r="B49" s="385"/>
      <c r="C49" s="385"/>
      <c r="D49" s="385"/>
      <c r="E49" s="385"/>
      <c r="F49" s="385"/>
      <c r="G49" s="15">
        <v>41</v>
      </c>
      <c r="H49" s="16" t="s">
        <v>3020</v>
      </c>
      <c r="I49" s="67">
        <v>321764</v>
      </c>
      <c r="J49" s="67">
        <v>351741</v>
      </c>
    </row>
    <row r="50" spans="1:10" ht="13.5" customHeight="1">
      <c r="A50" s="385" t="s">
        <v>1895</v>
      </c>
      <c r="B50" s="385"/>
      <c r="C50" s="385"/>
      <c r="D50" s="385"/>
      <c r="E50" s="385"/>
      <c r="F50" s="385"/>
      <c r="G50" s="15">
        <v>42</v>
      </c>
      <c r="H50" s="16" t="s">
        <v>3020</v>
      </c>
      <c r="I50" s="67">
        <v>128</v>
      </c>
      <c r="J50" s="67">
        <v>176</v>
      </c>
    </row>
    <row r="51" spans="1:10" ht="13.5" customHeight="1">
      <c r="A51" s="385" t="s">
        <v>1896</v>
      </c>
      <c r="B51" s="385"/>
      <c r="C51" s="385"/>
      <c r="D51" s="385"/>
      <c r="E51" s="385"/>
      <c r="F51" s="385"/>
      <c r="G51" s="15">
        <v>43</v>
      </c>
      <c r="H51" s="16"/>
      <c r="I51" s="67"/>
      <c r="J51" s="67"/>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4388393</v>
      </c>
      <c r="J54" s="66">
        <f>SUM(J55:J60)</f>
        <v>4823042</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t="s">
        <v>3000</v>
      </c>
      <c r="I57" s="67">
        <v>4012926</v>
      </c>
      <c r="J57" s="67">
        <v>3053085</v>
      </c>
    </row>
    <row r="58" spans="1:10" ht="13.5" customHeight="1">
      <c r="A58" s="385" t="s">
        <v>2009</v>
      </c>
      <c r="B58" s="385"/>
      <c r="C58" s="385"/>
      <c r="D58" s="385"/>
      <c r="E58" s="385"/>
      <c r="F58" s="385"/>
      <c r="G58" s="15">
        <v>50</v>
      </c>
      <c r="H58" s="16"/>
      <c r="I58" s="67"/>
      <c r="J58" s="67"/>
    </row>
    <row r="59" spans="1:10" ht="13.5" customHeight="1">
      <c r="A59" s="385" t="s">
        <v>2010</v>
      </c>
      <c r="B59" s="385"/>
      <c r="C59" s="385"/>
      <c r="D59" s="385"/>
      <c r="E59" s="385"/>
      <c r="F59" s="385"/>
      <c r="G59" s="15">
        <v>51</v>
      </c>
      <c r="H59" s="16" t="s">
        <v>2999</v>
      </c>
      <c r="I59" s="67">
        <v>47234</v>
      </c>
      <c r="J59" s="67">
        <v>1347298</v>
      </c>
    </row>
    <row r="60" spans="1:10" ht="13.5" customHeight="1">
      <c r="A60" s="385" t="s">
        <v>1255</v>
      </c>
      <c r="B60" s="385"/>
      <c r="C60" s="385"/>
      <c r="D60" s="385"/>
      <c r="E60" s="385"/>
      <c r="F60" s="385"/>
      <c r="G60" s="15">
        <v>52</v>
      </c>
      <c r="H60" s="16" t="s">
        <v>2998</v>
      </c>
      <c r="I60" s="67">
        <v>328233</v>
      </c>
      <c r="J60" s="67">
        <v>422659</v>
      </c>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c r="J69" s="67"/>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t="s">
        <v>1730</v>
      </c>
      <c r="I71" s="67">
        <v>8247583</v>
      </c>
      <c r="J71" s="67">
        <v>4796759</v>
      </c>
    </row>
    <row r="72" spans="1:10" ht="24.75" customHeight="1">
      <c r="A72" s="387" t="s">
        <v>591</v>
      </c>
      <c r="B72" s="387"/>
      <c r="C72" s="387"/>
      <c r="D72" s="387"/>
      <c r="E72" s="387"/>
      <c r="F72" s="387"/>
      <c r="G72" s="15">
        <v>64</v>
      </c>
      <c r="H72" s="16" t="s">
        <v>2997</v>
      </c>
      <c r="I72" s="67">
        <v>130548</v>
      </c>
      <c r="J72" s="67">
        <v>147294</v>
      </c>
    </row>
    <row r="73" spans="1:10" ht="13.5" customHeight="1">
      <c r="A73" s="387" t="s">
        <v>1267</v>
      </c>
      <c r="B73" s="387"/>
      <c r="C73" s="387"/>
      <c r="D73" s="387"/>
      <c r="E73" s="387"/>
      <c r="F73" s="387"/>
      <c r="G73" s="15">
        <v>65</v>
      </c>
      <c r="H73" s="16"/>
      <c r="I73" s="66">
        <f>I9+I10+I45+I72</f>
        <v>34855230</v>
      </c>
      <c r="J73" s="66">
        <f>J9+J10+J45+J72</f>
        <v>39238431</v>
      </c>
    </row>
    <row r="74" spans="1:10" ht="13.5" customHeight="1">
      <c r="A74" s="388" t="s">
        <v>1004</v>
      </c>
      <c r="B74" s="388"/>
      <c r="C74" s="388"/>
      <c r="D74" s="388"/>
      <c r="E74" s="388"/>
      <c r="F74" s="388"/>
      <c r="G74" s="17">
        <v>66</v>
      </c>
      <c r="H74" s="18"/>
      <c r="I74" s="68"/>
      <c r="J74" s="68"/>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29959331</v>
      </c>
      <c r="J76" s="66">
        <f>J77+J78+J79+J85+J86+J92+J95+J98</f>
        <v>30156019</v>
      </c>
      <c r="L76" s="2" t="s">
        <v>1209</v>
      </c>
    </row>
    <row r="77" spans="1:10" ht="13.5" customHeight="1">
      <c r="A77" s="386" t="s">
        <v>1857</v>
      </c>
      <c r="B77" s="386"/>
      <c r="C77" s="386"/>
      <c r="D77" s="386"/>
      <c r="E77" s="386"/>
      <c r="F77" s="386"/>
      <c r="G77" s="15">
        <v>68</v>
      </c>
      <c r="H77" s="16" t="s">
        <v>3001</v>
      </c>
      <c r="I77" s="67">
        <v>15469000</v>
      </c>
      <c r="J77" s="67">
        <v>15469000</v>
      </c>
    </row>
    <row r="78" spans="1:12" ht="13.5" customHeight="1">
      <c r="A78" s="386" t="s">
        <v>1858</v>
      </c>
      <c r="B78" s="386"/>
      <c r="C78" s="386"/>
      <c r="D78" s="386"/>
      <c r="E78" s="386"/>
      <c r="F78" s="386"/>
      <c r="G78" s="15">
        <v>69</v>
      </c>
      <c r="H78" s="16"/>
      <c r="I78" s="67"/>
      <c r="J78" s="67"/>
      <c r="L78" s="2" t="s">
        <v>1209</v>
      </c>
    </row>
    <row r="79" spans="1:12" ht="13.5" customHeight="1">
      <c r="A79" s="386" t="s">
        <v>673</v>
      </c>
      <c r="B79" s="386"/>
      <c r="C79" s="386"/>
      <c r="D79" s="386"/>
      <c r="E79" s="386"/>
      <c r="F79" s="386"/>
      <c r="G79" s="15">
        <v>70</v>
      </c>
      <c r="H79" s="16" t="s">
        <v>3001</v>
      </c>
      <c r="I79" s="66">
        <f>I80+I81-I82+I83+I84</f>
        <v>90636</v>
      </c>
      <c r="J79" s="66">
        <f>J80+J81-J82+J83+J84</f>
        <v>90636</v>
      </c>
      <c r="L79" s="2" t="s">
        <v>1209</v>
      </c>
    </row>
    <row r="80" spans="1:12" ht="13.5" customHeight="1">
      <c r="A80" s="385" t="s">
        <v>1258</v>
      </c>
      <c r="B80" s="385"/>
      <c r="C80" s="385"/>
      <c r="D80" s="385"/>
      <c r="E80" s="385"/>
      <c r="F80" s="385"/>
      <c r="G80" s="15">
        <v>71</v>
      </c>
      <c r="H80" s="16"/>
      <c r="I80" s="67"/>
      <c r="J80" s="67"/>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t="s">
        <v>3001</v>
      </c>
      <c r="I84" s="67">
        <v>90636</v>
      </c>
      <c r="J84" s="67">
        <v>90636</v>
      </c>
      <c r="L84" s="2" t="s">
        <v>1209</v>
      </c>
    </row>
    <row r="85" spans="1:12" ht="13.5" customHeight="1">
      <c r="A85" s="386" t="s">
        <v>2405</v>
      </c>
      <c r="B85" s="386"/>
      <c r="C85" s="386"/>
      <c r="D85" s="386"/>
      <c r="E85" s="386"/>
      <c r="F85" s="386"/>
      <c r="G85" s="15">
        <v>76</v>
      </c>
      <c r="H85" s="16" t="s">
        <v>3001</v>
      </c>
      <c r="I85" s="67">
        <v>134125</v>
      </c>
      <c r="J85" s="67">
        <v>134125</v>
      </c>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t="s">
        <v>3001</v>
      </c>
      <c r="I92" s="66">
        <f>I93-I94</f>
        <v>12158085</v>
      </c>
      <c r="J92" s="66">
        <f>J93-J94</f>
        <v>14265570</v>
      </c>
      <c r="L92" s="2" t="s">
        <v>1209</v>
      </c>
    </row>
    <row r="93" spans="1:10" ht="13.5" customHeight="1">
      <c r="A93" s="385" t="s">
        <v>2830</v>
      </c>
      <c r="B93" s="385"/>
      <c r="C93" s="385"/>
      <c r="D93" s="385"/>
      <c r="E93" s="385"/>
      <c r="F93" s="385"/>
      <c r="G93" s="15">
        <v>84</v>
      </c>
      <c r="H93" s="16" t="s">
        <v>3001</v>
      </c>
      <c r="I93" s="67">
        <v>12158085</v>
      </c>
      <c r="J93" s="67">
        <v>14265570</v>
      </c>
    </row>
    <row r="94" spans="1:10" ht="13.5" customHeight="1">
      <c r="A94" s="385" t="s">
        <v>2831</v>
      </c>
      <c r="B94" s="385"/>
      <c r="C94" s="385"/>
      <c r="D94" s="385"/>
      <c r="E94" s="385"/>
      <c r="F94" s="385"/>
      <c r="G94" s="15">
        <v>85</v>
      </c>
      <c r="H94" s="16"/>
      <c r="I94" s="67"/>
      <c r="J94" s="67"/>
    </row>
    <row r="95" spans="1:12" ht="13.5" customHeight="1">
      <c r="A95" s="386" t="s">
        <v>2487</v>
      </c>
      <c r="B95" s="386"/>
      <c r="C95" s="386"/>
      <c r="D95" s="386"/>
      <c r="E95" s="386"/>
      <c r="F95" s="386"/>
      <c r="G95" s="15">
        <v>86</v>
      </c>
      <c r="H95" s="16" t="s">
        <v>3001</v>
      </c>
      <c r="I95" s="66">
        <f>I96-I97</f>
        <v>2107485</v>
      </c>
      <c r="J95" s="66">
        <f>J96-J97</f>
        <v>196688</v>
      </c>
      <c r="L95" s="2" t="s">
        <v>1209</v>
      </c>
    </row>
    <row r="96" spans="1:10" ht="13.5" customHeight="1">
      <c r="A96" s="385" t="s">
        <v>1257</v>
      </c>
      <c r="B96" s="385"/>
      <c r="C96" s="385"/>
      <c r="D96" s="385"/>
      <c r="E96" s="385"/>
      <c r="F96" s="385"/>
      <c r="G96" s="15">
        <v>87</v>
      </c>
      <c r="H96" s="16" t="s">
        <v>3001</v>
      </c>
      <c r="I96" s="67">
        <v>2107485</v>
      </c>
      <c r="J96" s="67">
        <v>196688</v>
      </c>
    </row>
    <row r="97" spans="1:10" ht="13.5" customHeight="1">
      <c r="A97" s="385" t="s">
        <v>2832</v>
      </c>
      <c r="B97" s="385"/>
      <c r="C97" s="385"/>
      <c r="D97" s="385"/>
      <c r="E97" s="385"/>
      <c r="F97" s="385"/>
      <c r="G97" s="15">
        <v>88</v>
      </c>
      <c r="H97" s="16"/>
      <c r="I97" s="67"/>
      <c r="J97" s="67"/>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t="s">
        <v>3002</v>
      </c>
      <c r="I99" s="66">
        <f>SUM(I100:I105)</f>
        <v>34481</v>
      </c>
      <c r="J99" s="66">
        <f>SUM(J100:J105)</f>
        <v>32776</v>
      </c>
    </row>
    <row r="100" spans="1:10" ht="13.5" customHeight="1">
      <c r="A100" s="385" t="s">
        <v>0</v>
      </c>
      <c r="B100" s="385"/>
      <c r="C100" s="385"/>
      <c r="D100" s="385"/>
      <c r="E100" s="385"/>
      <c r="F100" s="385"/>
      <c r="G100" s="15">
        <v>91</v>
      </c>
      <c r="H100" s="16"/>
      <c r="I100" s="67">
        <v>34481</v>
      </c>
      <c r="J100" s="67">
        <v>32776</v>
      </c>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t="s">
        <v>3003</v>
      </c>
      <c r="I106" s="66">
        <f>SUM(I107:I117)</f>
        <v>746880</v>
      </c>
      <c r="J106" s="66">
        <f>SUM(J107:J117)</f>
        <v>444546</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t="s">
        <v>3003</v>
      </c>
      <c r="I112" s="67">
        <v>746880</v>
      </c>
      <c r="J112" s="67">
        <v>444546</v>
      </c>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c r="I118" s="66">
        <f>SUM(I119:I132)</f>
        <v>3251240</v>
      </c>
      <c r="J118" s="66">
        <f>SUM(J119:J132)</f>
        <v>3890128</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t="s">
        <v>3004</v>
      </c>
      <c r="I123" s="67">
        <v>13000</v>
      </c>
      <c r="J123" s="67">
        <v>29740</v>
      </c>
    </row>
    <row r="124" spans="1:10" ht="13.5" customHeight="1">
      <c r="A124" s="385" t="s">
        <v>2021</v>
      </c>
      <c r="B124" s="385"/>
      <c r="C124" s="385"/>
      <c r="D124" s="385"/>
      <c r="E124" s="385"/>
      <c r="F124" s="385"/>
      <c r="G124" s="15">
        <v>115</v>
      </c>
      <c r="H124" s="16" t="s">
        <v>3003</v>
      </c>
      <c r="I124" s="67">
        <v>295962</v>
      </c>
      <c r="J124" s="67">
        <v>304055</v>
      </c>
    </row>
    <row r="125" spans="1:10" ht="13.5" customHeight="1">
      <c r="A125" s="385" t="s">
        <v>2016</v>
      </c>
      <c r="B125" s="385"/>
      <c r="C125" s="385"/>
      <c r="D125" s="385"/>
      <c r="E125" s="385"/>
      <c r="F125" s="385"/>
      <c r="G125" s="15">
        <v>116</v>
      </c>
      <c r="H125" s="16" t="s">
        <v>3004</v>
      </c>
      <c r="I125" s="67">
        <v>92347</v>
      </c>
      <c r="J125" s="67">
        <v>7529</v>
      </c>
    </row>
    <row r="126" spans="1:10" ht="13.5" customHeight="1">
      <c r="A126" s="385" t="s">
        <v>2017</v>
      </c>
      <c r="B126" s="385"/>
      <c r="C126" s="385"/>
      <c r="D126" s="385"/>
      <c r="E126" s="385"/>
      <c r="F126" s="385"/>
      <c r="G126" s="15">
        <v>117</v>
      </c>
      <c r="H126" s="16" t="s">
        <v>3005</v>
      </c>
      <c r="I126" s="67">
        <v>854132</v>
      </c>
      <c r="J126" s="67">
        <v>2155975</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t="s">
        <v>3006</v>
      </c>
      <c r="I128" s="67">
        <v>798492</v>
      </c>
      <c r="J128" s="67">
        <v>925464</v>
      </c>
    </row>
    <row r="129" spans="1:10" ht="13.5" customHeight="1">
      <c r="A129" s="385" t="s">
        <v>2023</v>
      </c>
      <c r="B129" s="385"/>
      <c r="C129" s="385"/>
      <c r="D129" s="385"/>
      <c r="E129" s="385"/>
      <c r="F129" s="385"/>
      <c r="G129" s="15">
        <v>120</v>
      </c>
      <c r="H129" s="16" t="s">
        <v>3007</v>
      </c>
      <c r="I129" s="67">
        <v>1001115</v>
      </c>
      <c r="J129" s="67">
        <v>432697</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t="s">
        <v>3008</v>
      </c>
      <c r="I132" s="67">
        <v>196192</v>
      </c>
      <c r="J132" s="67">
        <v>34668</v>
      </c>
    </row>
    <row r="133" spans="1:10" ht="24.75" customHeight="1">
      <c r="A133" s="387" t="s">
        <v>593</v>
      </c>
      <c r="B133" s="387"/>
      <c r="C133" s="387"/>
      <c r="D133" s="387"/>
      <c r="E133" s="387"/>
      <c r="F133" s="387"/>
      <c r="G133" s="15">
        <v>124</v>
      </c>
      <c r="H133" s="16" t="s">
        <v>3021</v>
      </c>
      <c r="I133" s="67">
        <v>863298</v>
      </c>
      <c r="J133" s="67">
        <v>4714962</v>
      </c>
    </row>
    <row r="134" spans="1:10" ht="13.5" customHeight="1">
      <c r="A134" s="387" t="s">
        <v>360</v>
      </c>
      <c r="B134" s="387"/>
      <c r="C134" s="387"/>
      <c r="D134" s="387"/>
      <c r="E134" s="387"/>
      <c r="F134" s="387"/>
      <c r="G134" s="15">
        <v>125</v>
      </c>
      <c r="H134" s="16"/>
      <c r="I134" s="66">
        <f>I76+I99+I106+I118+I133</f>
        <v>34855230</v>
      </c>
      <c r="J134" s="66">
        <f>J76+J99+J106+J118+J133</f>
        <v>39238431</v>
      </c>
    </row>
    <row r="135" spans="1:10" ht="13.5" customHeight="1">
      <c r="A135" s="388" t="s">
        <v>1512</v>
      </c>
      <c r="B135" s="388"/>
      <c r="C135" s="388"/>
      <c r="D135" s="388"/>
      <c r="E135" s="388"/>
      <c r="F135" s="388"/>
      <c r="G135" s="17">
        <v>126</v>
      </c>
      <c r="H135" s="18"/>
      <c r="I135" s="68"/>
      <c r="J135" s="68"/>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47" activePane="bottomLeft" state="frozen"/>
      <selection pane="topLeft" activeCell="A1" sqref="A1"/>
      <selection pane="bottomLeft" activeCell="J66" sqref="J66"/>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20"/>
      <c r="C2" s="420"/>
      <c r="D2" s="420"/>
      <c r="E2" s="420"/>
      <c r="F2" s="420"/>
      <c r="G2" s="420"/>
      <c r="H2" s="420"/>
      <c r="I2" s="421"/>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2"/>
      <c r="C3" s="422"/>
      <c r="D3" s="422"/>
      <c r="E3" s="422"/>
      <c r="F3" s="422"/>
      <c r="G3" s="422"/>
      <c r="H3" s="422"/>
      <c r="I3" s="423"/>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99740428762; KOMUNALAC POŽEGA d.o.o.</v>
      </c>
      <c r="B5" s="418"/>
      <c r="C5" s="418"/>
      <c r="D5" s="418"/>
      <c r="E5" s="418"/>
      <c r="F5" s="418"/>
      <c r="G5" s="418"/>
      <c r="H5" s="418"/>
      <c r="I5" s="418"/>
      <c r="J5" s="419"/>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28622618</v>
      </c>
      <c r="J8" s="80">
        <f>SUM(J9:J13)</f>
        <v>26744421</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t="s">
        <v>3009</v>
      </c>
      <c r="I10" s="67">
        <v>25682350</v>
      </c>
      <c r="J10" s="67">
        <v>24531459</v>
      </c>
    </row>
    <row r="11" spans="1:10" s="2" customFormat="1" ht="14.25" customHeight="1">
      <c r="A11" s="385" t="s">
        <v>1086</v>
      </c>
      <c r="B11" s="385"/>
      <c r="C11" s="385"/>
      <c r="D11" s="385"/>
      <c r="E11" s="385"/>
      <c r="F11" s="385"/>
      <c r="G11" s="15">
        <v>130</v>
      </c>
      <c r="H11" s="16"/>
      <c r="I11" s="67"/>
      <c r="J11" s="67"/>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t="s">
        <v>3010</v>
      </c>
      <c r="I13" s="67">
        <v>2940268</v>
      </c>
      <c r="J13" s="67">
        <v>2212962</v>
      </c>
    </row>
    <row r="14" spans="1:10" s="2" customFormat="1" ht="14.25" customHeight="1">
      <c r="A14" s="387" t="s">
        <v>2492</v>
      </c>
      <c r="B14" s="387"/>
      <c r="C14" s="387"/>
      <c r="D14" s="387"/>
      <c r="E14" s="387"/>
      <c r="F14" s="387"/>
      <c r="G14" s="15">
        <v>133</v>
      </c>
      <c r="H14" s="16"/>
      <c r="I14" s="66">
        <f>I15+I16+I20+I24+I25+I26+I29+I36</f>
        <v>26084142</v>
      </c>
      <c r="J14" s="66">
        <f>J15+J16+J20+J24+J25+J26+J29+J36</f>
        <v>26506905</v>
      </c>
    </row>
    <row r="15" spans="1:12" s="2" customFormat="1" ht="14.25" customHeight="1">
      <c r="A15" s="385" t="s">
        <v>1005</v>
      </c>
      <c r="B15" s="385"/>
      <c r="C15" s="385"/>
      <c r="D15" s="385"/>
      <c r="E15" s="385"/>
      <c r="F15" s="385"/>
      <c r="G15" s="15">
        <v>134</v>
      </c>
      <c r="H15" s="16" t="s">
        <v>3011</v>
      </c>
      <c r="I15" s="67">
        <v>98828</v>
      </c>
      <c r="J15" s="67">
        <v>-33639</v>
      </c>
      <c r="L15" s="2" t="s">
        <v>1209</v>
      </c>
    </row>
    <row r="16" spans="1:10" s="2" customFormat="1" ht="14.25" customHeight="1">
      <c r="A16" s="385" t="s">
        <v>2493</v>
      </c>
      <c r="B16" s="385"/>
      <c r="C16" s="385"/>
      <c r="D16" s="385"/>
      <c r="E16" s="385"/>
      <c r="F16" s="385"/>
      <c r="G16" s="15">
        <v>135</v>
      </c>
      <c r="H16" s="16"/>
      <c r="I16" s="66">
        <f>SUM(I17:I19)</f>
        <v>6484406</v>
      </c>
      <c r="J16" s="66">
        <f>SUM(J17:J19)</f>
        <v>6863414</v>
      </c>
    </row>
    <row r="17" spans="1:10" s="2" customFormat="1" ht="14.25" customHeight="1">
      <c r="A17" s="416" t="s">
        <v>1273</v>
      </c>
      <c r="B17" s="416"/>
      <c r="C17" s="416"/>
      <c r="D17" s="416"/>
      <c r="E17" s="416"/>
      <c r="F17" s="416"/>
      <c r="G17" s="15">
        <v>136</v>
      </c>
      <c r="H17" s="16" t="s">
        <v>3011</v>
      </c>
      <c r="I17" s="67">
        <v>3342187</v>
      </c>
      <c r="J17" s="67">
        <v>3818583</v>
      </c>
    </row>
    <row r="18" spans="1:10" s="2" customFormat="1" ht="14.25" customHeight="1">
      <c r="A18" s="416" t="s">
        <v>1274</v>
      </c>
      <c r="B18" s="416"/>
      <c r="C18" s="416"/>
      <c r="D18" s="416"/>
      <c r="E18" s="416"/>
      <c r="F18" s="416"/>
      <c r="G18" s="15">
        <v>137</v>
      </c>
      <c r="H18" s="16" t="s">
        <v>3011</v>
      </c>
      <c r="I18" s="67">
        <v>4880</v>
      </c>
      <c r="J18" s="67">
        <v>2862</v>
      </c>
    </row>
    <row r="19" spans="1:10" s="2" customFormat="1" ht="14.25" customHeight="1">
      <c r="A19" s="416" t="s">
        <v>2959</v>
      </c>
      <c r="B19" s="416"/>
      <c r="C19" s="416"/>
      <c r="D19" s="416"/>
      <c r="E19" s="416"/>
      <c r="F19" s="416"/>
      <c r="G19" s="15">
        <v>138</v>
      </c>
      <c r="H19" s="16" t="s">
        <v>3012</v>
      </c>
      <c r="I19" s="67">
        <v>3137339</v>
      </c>
      <c r="J19" s="67">
        <v>3041969</v>
      </c>
    </row>
    <row r="20" spans="1:10" s="2" customFormat="1" ht="14.25" customHeight="1">
      <c r="A20" s="385" t="s">
        <v>2494</v>
      </c>
      <c r="B20" s="385"/>
      <c r="C20" s="385"/>
      <c r="D20" s="385"/>
      <c r="E20" s="385"/>
      <c r="F20" s="385"/>
      <c r="G20" s="15">
        <v>139</v>
      </c>
      <c r="H20" s="16" t="s">
        <v>3013</v>
      </c>
      <c r="I20" s="66">
        <f>SUM(I21:I23)</f>
        <v>12488355</v>
      </c>
      <c r="J20" s="66">
        <f>SUM(J21:J23)</f>
        <v>13383145</v>
      </c>
    </row>
    <row r="21" spans="1:10" s="2" customFormat="1" ht="14.25" customHeight="1">
      <c r="A21" s="416" t="s">
        <v>960</v>
      </c>
      <c r="B21" s="416"/>
      <c r="C21" s="416"/>
      <c r="D21" s="416"/>
      <c r="E21" s="416"/>
      <c r="F21" s="416"/>
      <c r="G21" s="15">
        <v>140</v>
      </c>
      <c r="H21" s="16" t="s">
        <v>3013</v>
      </c>
      <c r="I21" s="67">
        <v>8214253</v>
      </c>
      <c r="J21" s="67">
        <v>8771833</v>
      </c>
    </row>
    <row r="22" spans="1:10" s="2" customFormat="1" ht="14.25" customHeight="1">
      <c r="A22" s="416" t="s">
        <v>1883</v>
      </c>
      <c r="B22" s="416"/>
      <c r="C22" s="416"/>
      <c r="D22" s="416"/>
      <c r="E22" s="416"/>
      <c r="F22" s="416"/>
      <c r="G22" s="15">
        <v>141</v>
      </c>
      <c r="H22" s="16" t="s">
        <v>3013</v>
      </c>
      <c r="I22" s="67">
        <v>2472010</v>
      </c>
      <c r="J22" s="67">
        <v>2687715</v>
      </c>
    </row>
    <row r="23" spans="1:10" s="2" customFormat="1" ht="14.25" customHeight="1">
      <c r="A23" s="416" t="s">
        <v>1884</v>
      </c>
      <c r="B23" s="416"/>
      <c r="C23" s="416"/>
      <c r="D23" s="416"/>
      <c r="E23" s="416"/>
      <c r="F23" s="416"/>
      <c r="G23" s="15">
        <v>142</v>
      </c>
      <c r="H23" s="16" t="s">
        <v>3013</v>
      </c>
      <c r="I23" s="67">
        <v>1802092</v>
      </c>
      <c r="J23" s="67">
        <v>1923597</v>
      </c>
    </row>
    <row r="24" spans="1:10" s="2" customFormat="1" ht="14.25" customHeight="1">
      <c r="A24" s="385" t="s">
        <v>1006</v>
      </c>
      <c r="B24" s="385"/>
      <c r="C24" s="385"/>
      <c r="D24" s="385"/>
      <c r="E24" s="385"/>
      <c r="F24" s="385"/>
      <c r="G24" s="15">
        <v>143</v>
      </c>
      <c r="H24" s="16" t="s">
        <v>3014</v>
      </c>
      <c r="I24" s="67">
        <v>3628440</v>
      </c>
      <c r="J24" s="67">
        <v>2742967</v>
      </c>
    </row>
    <row r="25" spans="1:10" s="2" customFormat="1" ht="14.25" customHeight="1">
      <c r="A25" s="385" t="s">
        <v>1007</v>
      </c>
      <c r="B25" s="385"/>
      <c r="C25" s="385"/>
      <c r="D25" s="385"/>
      <c r="E25" s="385"/>
      <c r="F25" s="385"/>
      <c r="G25" s="15">
        <v>144</v>
      </c>
      <c r="H25" s="16" t="s">
        <v>3015</v>
      </c>
      <c r="I25" s="67">
        <v>2314110</v>
      </c>
      <c r="J25" s="67">
        <v>2880207</v>
      </c>
    </row>
    <row r="26" spans="1:12" s="2" customFormat="1" ht="14.25" customHeight="1">
      <c r="A26" s="385" t="s">
        <v>2495</v>
      </c>
      <c r="B26" s="385"/>
      <c r="C26" s="385"/>
      <c r="D26" s="385"/>
      <c r="E26" s="385"/>
      <c r="F26" s="385"/>
      <c r="G26" s="15">
        <v>145</v>
      </c>
      <c r="H26" s="16" t="s">
        <v>3000</v>
      </c>
      <c r="I26" s="66">
        <f>SUM(I27:I28)</f>
        <v>943061</v>
      </c>
      <c r="J26" s="66">
        <f>SUM(J27:J28)</f>
        <v>529046</v>
      </c>
      <c r="L26" s="2" t="s">
        <v>1209</v>
      </c>
    </row>
    <row r="27" spans="1:12" s="2" customFormat="1" ht="14.25" customHeight="1">
      <c r="A27" s="416" t="s">
        <v>1275</v>
      </c>
      <c r="B27" s="416"/>
      <c r="C27" s="416"/>
      <c r="D27" s="416"/>
      <c r="E27" s="416"/>
      <c r="F27" s="416"/>
      <c r="G27" s="15">
        <v>146</v>
      </c>
      <c r="H27" s="16"/>
      <c r="I27" s="67"/>
      <c r="J27" s="67"/>
      <c r="L27" s="2" t="s">
        <v>1209</v>
      </c>
    </row>
    <row r="28" spans="1:12" s="2" customFormat="1" ht="14.25" customHeight="1">
      <c r="A28" s="416" t="s">
        <v>1276</v>
      </c>
      <c r="B28" s="416"/>
      <c r="C28" s="416"/>
      <c r="D28" s="416"/>
      <c r="E28" s="416"/>
      <c r="F28" s="416"/>
      <c r="G28" s="15">
        <v>147</v>
      </c>
      <c r="H28" s="16" t="s">
        <v>3000</v>
      </c>
      <c r="I28" s="67">
        <v>943061</v>
      </c>
      <c r="J28" s="67">
        <v>529046</v>
      </c>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6" t="s">
        <v>1277</v>
      </c>
      <c r="B30" s="416"/>
      <c r="C30" s="416"/>
      <c r="D30" s="416"/>
      <c r="E30" s="416"/>
      <c r="F30" s="416"/>
      <c r="G30" s="15">
        <v>149</v>
      </c>
      <c r="H30" s="16"/>
      <c r="I30" s="67"/>
      <c r="J30" s="67"/>
      <c r="L30" s="2" t="s">
        <v>1209</v>
      </c>
    </row>
    <row r="31" spans="1:12" s="2" customFormat="1" ht="14.25" customHeight="1">
      <c r="A31" s="416" t="s">
        <v>1278</v>
      </c>
      <c r="B31" s="416"/>
      <c r="C31" s="416"/>
      <c r="D31" s="416"/>
      <c r="E31" s="416"/>
      <c r="F31" s="416"/>
      <c r="G31" s="15">
        <v>150</v>
      </c>
      <c r="H31" s="16"/>
      <c r="I31" s="67"/>
      <c r="J31" s="67"/>
      <c r="L31" s="2" t="s">
        <v>1209</v>
      </c>
    </row>
    <row r="32" spans="1:12" s="2" customFormat="1" ht="14.25" customHeight="1">
      <c r="A32" s="416" t="s">
        <v>1279</v>
      </c>
      <c r="B32" s="416"/>
      <c r="C32" s="416"/>
      <c r="D32" s="416"/>
      <c r="E32" s="416"/>
      <c r="F32" s="416"/>
      <c r="G32" s="15">
        <v>151</v>
      </c>
      <c r="H32" s="16"/>
      <c r="I32" s="67"/>
      <c r="J32" s="67"/>
      <c r="L32" s="2" t="s">
        <v>1209</v>
      </c>
    </row>
    <row r="33" spans="1:12" s="2" customFormat="1" ht="14.25" customHeight="1">
      <c r="A33" s="416" t="s">
        <v>1280</v>
      </c>
      <c r="B33" s="416"/>
      <c r="C33" s="416"/>
      <c r="D33" s="416"/>
      <c r="E33" s="416"/>
      <c r="F33" s="416"/>
      <c r="G33" s="15">
        <v>152</v>
      </c>
      <c r="H33" s="16"/>
      <c r="I33" s="67"/>
      <c r="J33" s="67"/>
      <c r="L33" s="2" t="s">
        <v>1209</v>
      </c>
    </row>
    <row r="34" spans="1:12" s="2" customFormat="1" ht="14.25" customHeight="1">
      <c r="A34" s="416" t="s">
        <v>1281</v>
      </c>
      <c r="B34" s="416"/>
      <c r="C34" s="416"/>
      <c r="D34" s="416"/>
      <c r="E34" s="416"/>
      <c r="F34" s="416"/>
      <c r="G34" s="15">
        <v>153</v>
      </c>
      <c r="H34" s="16"/>
      <c r="I34" s="67"/>
      <c r="J34" s="67"/>
      <c r="L34" s="2" t="s">
        <v>1209</v>
      </c>
    </row>
    <row r="35" spans="1:12" s="2" customFormat="1" ht="14.25" customHeight="1">
      <c r="A35" s="416" t="s">
        <v>1282</v>
      </c>
      <c r="B35" s="416"/>
      <c r="C35" s="416"/>
      <c r="D35" s="416"/>
      <c r="E35" s="416"/>
      <c r="F35" s="416"/>
      <c r="G35" s="15">
        <v>154</v>
      </c>
      <c r="H35" s="16"/>
      <c r="I35" s="67"/>
      <c r="J35" s="67"/>
      <c r="L35" s="2" t="s">
        <v>1209</v>
      </c>
    </row>
    <row r="36" spans="1:10" s="2" customFormat="1" ht="14.25" customHeight="1">
      <c r="A36" s="385" t="s">
        <v>147</v>
      </c>
      <c r="B36" s="385"/>
      <c r="C36" s="385"/>
      <c r="D36" s="385"/>
      <c r="E36" s="385"/>
      <c r="F36" s="385"/>
      <c r="G36" s="15">
        <v>155</v>
      </c>
      <c r="H36" s="16" t="s">
        <v>3016</v>
      </c>
      <c r="I36" s="67">
        <v>126942</v>
      </c>
      <c r="J36" s="67">
        <v>141765</v>
      </c>
    </row>
    <row r="37" spans="1:10" s="2" customFormat="1" ht="14.25" customHeight="1">
      <c r="A37" s="387" t="s">
        <v>2497</v>
      </c>
      <c r="B37" s="387"/>
      <c r="C37" s="387"/>
      <c r="D37" s="387"/>
      <c r="E37" s="387"/>
      <c r="F37" s="387"/>
      <c r="G37" s="15">
        <v>156</v>
      </c>
      <c r="H37" s="16" t="s">
        <v>3017</v>
      </c>
      <c r="I37" s="66">
        <f>SUM(I38:I47)</f>
        <v>116238</v>
      </c>
      <c r="J37" s="66">
        <f>SUM(J38:J47)</f>
        <v>84270</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t="s">
        <v>3017</v>
      </c>
      <c r="I44" s="67">
        <v>115814</v>
      </c>
      <c r="J44" s="67">
        <v>84186</v>
      </c>
    </row>
    <row r="45" spans="1:10" s="2" customFormat="1" ht="14.25" customHeight="1">
      <c r="A45" s="385" t="s">
        <v>2961</v>
      </c>
      <c r="B45" s="385"/>
      <c r="C45" s="385"/>
      <c r="D45" s="385"/>
      <c r="E45" s="385"/>
      <c r="F45" s="385"/>
      <c r="G45" s="15">
        <v>164</v>
      </c>
      <c r="H45" s="16" t="s">
        <v>3017</v>
      </c>
      <c r="I45" s="67">
        <v>424</v>
      </c>
      <c r="J45" s="67">
        <v>84</v>
      </c>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c r="J47" s="67"/>
    </row>
    <row r="48" spans="1:10" s="2" customFormat="1" ht="14.25" customHeight="1">
      <c r="A48" s="387" t="s">
        <v>2498</v>
      </c>
      <c r="B48" s="387"/>
      <c r="C48" s="387"/>
      <c r="D48" s="387"/>
      <c r="E48" s="387"/>
      <c r="F48" s="387"/>
      <c r="G48" s="15">
        <v>167</v>
      </c>
      <c r="H48" s="16" t="s">
        <v>3018</v>
      </c>
      <c r="I48" s="66">
        <f>SUM(I49:I55)</f>
        <v>19013</v>
      </c>
      <c r="J48" s="66">
        <f>SUM(J49:J55)</f>
        <v>25218</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t="s">
        <v>3018</v>
      </c>
      <c r="I51" s="67">
        <v>17471</v>
      </c>
      <c r="J51" s="67">
        <v>22784</v>
      </c>
    </row>
    <row r="52" spans="1:10" s="2" customFormat="1" ht="14.25" customHeight="1">
      <c r="A52" s="413" t="s">
        <v>1090</v>
      </c>
      <c r="B52" s="413"/>
      <c r="C52" s="413"/>
      <c r="D52" s="413"/>
      <c r="E52" s="413"/>
      <c r="F52" s="413"/>
      <c r="G52" s="15">
        <v>171</v>
      </c>
      <c r="H52" s="16" t="s">
        <v>3018</v>
      </c>
      <c r="I52" s="67">
        <v>1542</v>
      </c>
      <c r="J52" s="67">
        <v>2434</v>
      </c>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28738856</v>
      </c>
      <c r="J60" s="66">
        <f>J8+J37+J56+J57</f>
        <v>26828691</v>
      </c>
    </row>
    <row r="61" spans="1:10" s="2" customFormat="1" ht="14.25" customHeight="1">
      <c r="A61" s="387" t="s">
        <v>2500</v>
      </c>
      <c r="B61" s="387"/>
      <c r="C61" s="387"/>
      <c r="D61" s="387"/>
      <c r="E61" s="387"/>
      <c r="F61" s="387"/>
      <c r="G61" s="15">
        <v>180</v>
      </c>
      <c r="H61" s="16"/>
      <c r="I61" s="66">
        <f>I14+I48+I58+I59</f>
        <v>26103155</v>
      </c>
      <c r="J61" s="66">
        <f>J14+J48+J58+J59</f>
        <v>26532123</v>
      </c>
    </row>
    <row r="62" spans="1:12" s="2" customFormat="1" ht="14.25" customHeight="1">
      <c r="A62" s="387" t="s">
        <v>2501</v>
      </c>
      <c r="B62" s="387"/>
      <c r="C62" s="387"/>
      <c r="D62" s="387"/>
      <c r="E62" s="387"/>
      <c r="F62" s="387"/>
      <c r="G62" s="15">
        <v>181</v>
      </c>
      <c r="H62" s="16" t="s">
        <v>3019</v>
      </c>
      <c r="I62" s="66">
        <f>I60-I61</f>
        <v>2635701</v>
      </c>
      <c r="J62" s="66">
        <f>J60-J61</f>
        <v>296568</v>
      </c>
      <c r="L62" s="2" t="s">
        <v>1209</v>
      </c>
    </row>
    <row r="63" spans="1:10" s="2" customFormat="1" ht="14.25" customHeight="1">
      <c r="A63" s="413" t="s">
        <v>2502</v>
      </c>
      <c r="B63" s="413"/>
      <c r="C63" s="413"/>
      <c r="D63" s="413"/>
      <c r="E63" s="413"/>
      <c r="F63" s="413"/>
      <c r="G63" s="15">
        <v>182</v>
      </c>
      <c r="H63" s="16" t="s">
        <v>3019</v>
      </c>
      <c r="I63" s="66">
        <f>IF(I60&gt;I61,I60-I61,0)</f>
        <v>2635701</v>
      </c>
      <c r="J63" s="66">
        <f>IF(J60&gt;J61,J60-J61,0)</f>
        <v>296568</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t="s">
        <v>3019</v>
      </c>
      <c r="I65" s="67">
        <v>528216</v>
      </c>
      <c r="J65" s="67">
        <v>99880</v>
      </c>
      <c r="L65" s="2" t="s">
        <v>1209</v>
      </c>
    </row>
    <row r="66" spans="1:12" s="2" customFormat="1" ht="14.25" customHeight="1">
      <c r="A66" s="387" t="s">
        <v>2504</v>
      </c>
      <c r="B66" s="387"/>
      <c r="C66" s="387"/>
      <c r="D66" s="387"/>
      <c r="E66" s="387"/>
      <c r="F66" s="387"/>
      <c r="G66" s="15">
        <v>185</v>
      </c>
      <c r="H66" s="16" t="s">
        <v>3001</v>
      </c>
      <c r="I66" s="66">
        <f>I62-I65</f>
        <v>2107485</v>
      </c>
      <c r="J66" s="66">
        <f>J62-J65</f>
        <v>196688</v>
      </c>
      <c r="L66" s="2" t="s">
        <v>1209</v>
      </c>
    </row>
    <row r="67" spans="1:10" s="2" customFormat="1" ht="14.25" customHeight="1">
      <c r="A67" s="413" t="s">
        <v>2505</v>
      </c>
      <c r="B67" s="413"/>
      <c r="C67" s="413"/>
      <c r="D67" s="413"/>
      <c r="E67" s="413"/>
      <c r="F67" s="413"/>
      <c r="G67" s="15">
        <v>186</v>
      </c>
      <c r="H67" s="16" t="s">
        <v>3001</v>
      </c>
      <c r="I67" s="66">
        <f>IF(I66&gt;0,I66,0)</f>
        <v>2107485</v>
      </c>
      <c r="J67" s="66">
        <f>IF(J66&gt;0,J66,0)</f>
        <v>196688</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14" t="s">
        <v>1506</v>
      </c>
      <c r="B88" s="414"/>
      <c r="C88" s="414"/>
      <c r="D88" s="414"/>
      <c r="E88" s="414"/>
      <c r="F88" s="414"/>
      <c r="G88" s="415"/>
      <c r="H88" s="415"/>
      <c r="I88" s="415"/>
      <c r="J88" s="415"/>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18:F18"/>
    <mergeCell ref="A19:F19"/>
    <mergeCell ref="A26:F26"/>
    <mergeCell ref="A27:F27"/>
    <mergeCell ref="A29:F29"/>
    <mergeCell ref="A36:F36"/>
    <mergeCell ref="A34:F34"/>
    <mergeCell ref="A25:F25"/>
    <mergeCell ref="A5:J5"/>
    <mergeCell ref="A6:F6"/>
    <mergeCell ref="A2:I2"/>
    <mergeCell ref="A3:I3"/>
    <mergeCell ref="J2:J3"/>
    <mergeCell ref="A31:F31"/>
    <mergeCell ref="A16:F16"/>
    <mergeCell ref="A23:F23"/>
    <mergeCell ref="A24:F24"/>
    <mergeCell ref="A15:F15"/>
    <mergeCell ref="A41:F41"/>
    <mergeCell ref="A28:F28"/>
    <mergeCell ref="A30:F30"/>
    <mergeCell ref="A33:F33"/>
    <mergeCell ref="A42:F42"/>
    <mergeCell ref="A32:F32"/>
    <mergeCell ref="A48:F48"/>
    <mergeCell ref="A46:F46"/>
    <mergeCell ref="A47:F47"/>
    <mergeCell ref="A49:F49"/>
    <mergeCell ref="A38:F38"/>
    <mergeCell ref="A35:F35"/>
    <mergeCell ref="A45:F45"/>
    <mergeCell ref="A43:F43"/>
    <mergeCell ref="A44:F44"/>
    <mergeCell ref="A37:F37"/>
    <mergeCell ref="A102:F102"/>
    <mergeCell ref="A87:F87"/>
    <mergeCell ref="A50:F50"/>
    <mergeCell ref="A51:F51"/>
    <mergeCell ref="A57:F57"/>
    <mergeCell ref="A56:F56"/>
    <mergeCell ref="A61:F61"/>
    <mergeCell ref="A88:J88"/>
    <mergeCell ref="A71:F71"/>
    <mergeCell ref="A55:F55"/>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I79" sqref="I79:J85"/>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47" t="s">
        <v>821</v>
      </c>
      <c r="B2" s="448"/>
      <c r="C2" s="448"/>
      <c r="D2" s="448"/>
      <c r="E2" s="448"/>
      <c r="F2" s="448"/>
      <c r="G2" s="448"/>
      <c r="H2" s="448"/>
      <c r="I2" s="449"/>
      <c r="J2" s="389" t="s">
        <v>1211</v>
      </c>
      <c r="Q2" s="70">
        <f>IF(MAX(I9:I88)&gt;0,1,0)</f>
        <v>0</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0</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99740428762; KOMUNALAC POŽEGA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c r="J26" s="73"/>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c r="J37" s="90"/>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c r="J50" s="73"/>
    </row>
    <row r="51" spans="1:10" s="2" customFormat="1" ht="24.75" customHeight="1">
      <c r="A51" s="413" t="s">
        <v>2106</v>
      </c>
      <c r="B51" s="413"/>
      <c r="C51" s="413"/>
      <c r="D51" s="413"/>
      <c r="E51" s="413"/>
      <c r="F51" s="413"/>
      <c r="G51" s="426"/>
      <c r="H51" s="15">
        <v>263</v>
      </c>
      <c r="I51" s="73"/>
      <c r="J51" s="73"/>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c r="J55" s="73"/>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c r="J60" s="73"/>
    </row>
    <row r="61" spans="1:10" s="2" customFormat="1" ht="13.5" customHeight="1">
      <c r="A61" s="433" t="s">
        <v>645</v>
      </c>
      <c r="B61" s="433"/>
      <c r="C61" s="433"/>
      <c r="D61" s="433"/>
      <c r="E61" s="433"/>
      <c r="F61" s="433"/>
      <c r="G61" s="434"/>
      <c r="H61" s="15">
        <v>273</v>
      </c>
      <c r="I61" s="73"/>
      <c r="J61" s="73"/>
    </row>
    <row r="62" spans="1:10" s="2" customFormat="1" ht="13.5" customHeight="1">
      <c r="A62" s="413" t="s">
        <v>2820</v>
      </c>
      <c r="B62" s="413"/>
      <c r="C62" s="413"/>
      <c r="D62" s="413"/>
      <c r="E62" s="413"/>
      <c r="F62" s="413"/>
      <c r="G62" s="426"/>
      <c r="H62" s="15">
        <v>274</v>
      </c>
      <c r="I62" s="73"/>
      <c r="J62" s="73"/>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c r="J65" s="73"/>
    </row>
    <row r="66" spans="1:10" s="2" customFormat="1" ht="13.5" customHeight="1">
      <c r="A66" s="433" t="s">
        <v>2658</v>
      </c>
      <c r="B66" s="433"/>
      <c r="C66" s="433"/>
      <c r="D66" s="433"/>
      <c r="E66" s="433"/>
      <c r="F66" s="433"/>
      <c r="G66" s="434"/>
      <c r="H66" s="15">
        <v>278</v>
      </c>
      <c r="I66" s="73"/>
      <c r="J66" s="73"/>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c r="J73" s="90"/>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c r="J76" s="74"/>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0</v>
      </c>
      <c r="J78" s="220">
        <f>SUM(J79:J82)</f>
        <v>0</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c r="J80" s="73"/>
    </row>
    <row r="81" spans="1:10" s="2" customFormat="1" ht="13.5" customHeight="1">
      <c r="A81" s="413" t="s">
        <v>201</v>
      </c>
      <c r="B81" s="413"/>
      <c r="C81" s="413"/>
      <c r="D81" s="413"/>
      <c r="E81" s="413"/>
      <c r="F81" s="413"/>
      <c r="G81" s="426"/>
      <c r="H81" s="15">
        <v>291</v>
      </c>
      <c r="I81" s="73"/>
      <c r="J81" s="73"/>
    </row>
    <row r="82" spans="1:10" s="2" customFormat="1" ht="36" customHeight="1">
      <c r="A82" s="413" t="s">
        <v>204</v>
      </c>
      <c r="B82" s="413"/>
      <c r="C82" s="413"/>
      <c r="D82" s="413"/>
      <c r="E82" s="413"/>
      <c r="F82" s="413"/>
      <c r="G82" s="426"/>
      <c r="H82" s="15">
        <v>292</v>
      </c>
      <c r="I82" s="73"/>
      <c r="J82" s="73"/>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c r="J84" s="73"/>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39" activePane="bottomLeft" state="frozen"/>
      <selection pane="topLeft" activeCell="A1" sqref="A1"/>
      <selection pane="bottomLeft" activeCell="J60" sqref="J60"/>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1</v>
      </c>
      <c r="R1" s="69" t="s">
        <v>792</v>
      </c>
    </row>
    <row r="2" spans="1:18" s="2" customFormat="1" ht="19.5" customHeight="1">
      <c r="A2" s="447" t="s">
        <v>1102</v>
      </c>
      <c r="B2" s="448"/>
      <c r="C2" s="448"/>
      <c r="D2" s="448"/>
      <c r="E2" s="448"/>
      <c r="F2" s="448"/>
      <c r="G2" s="448"/>
      <c r="H2" s="448"/>
      <c r="I2" s="453"/>
      <c r="J2" s="389" t="s">
        <v>1212</v>
      </c>
      <c r="Q2" s="70">
        <f>IF(OR(MIN(I8:I60)&lt;0,MAX(I8:I60)&gt;0),1,0)</f>
        <v>1</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1</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99740428762; KOMUNALAC POŽEGA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v>2635701</v>
      </c>
      <c r="J9" s="138">
        <v>296568</v>
      </c>
    </row>
    <row r="10" spans="1:10" s="2" customFormat="1" ht="13.5" customHeight="1">
      <c r="A10" s="413" t="s">
        <v>71</v>
      </c>
      <c r="B10" s="413"/>
      <c r="C10" s="413"/>
      <c r="D10" s="413"/>
      <c r="E10" s="413"/>
      <c r="F10" s="413"/>
      <c r="G10" s="15">
        <v>2</v>
      </c>
      <c r="H10" s="19"/>
      <c r="I10" s="121">
        <f>SUM(I11:I18)</f>
        <v>3628440</v>
      </c>
      <c r="J10" s="121">
        <f>SUM(J11:J18)</f>
        <v>2742967</v>
      </c>
    </row>
    <row r="11" spans="1:12" s="2" customFormat="1" ht="13.5" customHeight="1">
      <c r="A11" s="433" t="s">
        <v>1543</v>
      </c>
      <c r="B11" s="433"/>
      <c r="C11" s="433"/>
      <c r="D11" s="433"/>
      <c r="E11" s="433"/>
      <c r="F11" s="433"/>
      <c r="G11" s="15">
        <v>3</v>
      </c>
      <c r="H11" s="19"/>
      <c r="I11" s="122">
        <v>3628440</v>
      </c>
      <c r="J11" s="122">
        <v>2742967</v>
      </c>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6264141</v>
      </c>
      <c r="J19" s="121">
        <f>J9+J10</f>
        <v>3039535</v>
      </c>
      <c r="N19" s="2">
        <f>IF(MIN(NT_I!I11:J11,NT_I!I15:J15,NT_I!I30:J36,NT_I!I59:J60)&lt;0,1,0)</f>
        <v>0</v>
      </c>
    </row>
    <row r="20" spans="1:10" s="2" customFormat="1" ht="13.5" customHeight="1">
      <c r="A20" s="413" t="s">
        <v>21</v>
      </c>
      <c r="B20" s="413"/>
      <c r="C20" s="413"/>
      <c r="D20" s="413"/>
      <c r="E20" s="413"/>
      <c r="F20" s="413"/>
      <c r="G20" s="15">
        <v>12</v>
      </c>
      <c r="H20" s="19"/>
      <c r="I20" s="121">
        <f>SUM(I21:I24)</f>
        <v>291013</v>
      </c>
      <c r="J20" s="121">
        <f>SUM(J21:J24)</f>
        <v>3581279</v>
      </c>
    </row>
    <row r="21" spans="1:10" s="2" customFormat="1" ht="13.5" customHeight="1">
      <c r="A21" s="433" t="s">
        <v>2353</v>
      </c>
      <c r="B21" s="433"/>
      <c r="C21" s="433"/>
      <c r="D21" s="433"/>
      <c r="E21" s="433"/>
      <c r="F21" s="433"/>
      <c r="G21" s="15">
        <v>13</v>
      </c>
      <c r="H21" s="19"/>
      <c r="I21" s="122">
        <v>235687</v>
      </c>
      <c r="J21" s="122">
        <v>638888</v>
      </c>
    </row>
    <row r="22" spans="1:10" s="2" customFormat="1" ht="13.5" customHeight="1">
      <c r="A22" s="433" t="s">
        <v>2354</v>
      </c>
      <c r="B22" s="433"/>
      <c r="C22" s="433"/>
      <c r="D22" s="433"/>
      <c r="E22" s="433"/>
      <c r="F22" s="433"/>
      <c r="G22" s="15">
        <v>14</v>
      </c>
      <c r="H22" s="19"/>
      <c r="I22" s="122">
        <v>234859</v>
      </c>
      <c r="J22" s="122">
        <v>-434649</v>
      </c>
    </row>
    <row r="23" spans="1:10" s="2" customFormat="1" ht="13.5" customHeight="1">
      <c r="A23" s="433" t="s">
        <v>2355</v>
      </c>
      <c r="B23" s="433"/>
      <c r="C23" s="433"/>
      <c r="D23" s="433"/>
      <c r="E23" s="433"/>
      <c r="F23" s="433"/>
      <c r="G23" s="15">
        <v>15</v>
      </c>
      <c r="H23" s="19"/>
      <c r="I23" s="122">
        <v>63066</v>
      </c>
      <c r="J23" s="122">
        <v>-367928</v>
      </c>
    </row>
    <row r="24" spans="1:10" s="2" customFormat="1" ht="13.5" customHeight="1">
      <c r="A24" s="433" t="s">
        <v>2356</v>
      </c>
      <c r="B24" s="433"/>
      <c r="C24" s="433"/>
      <c r="D24" s="433"/>
      <c r="E24" s="433"/>
      <c r="F24" s="433"/>
      <c r="G24" s="15">
        <v>16</v>
      </c>
      <c r="H24" s="19"/>
      <c r="I24" s="122">
        <v>-242599</v>
      </c>
      <c r="J24" s="122">
        <v>3744968</v>
      </c>
    </row>
    <row r="25" spans="1:10" s="2" customFormat="1" ht="13.5" customHeight="1">
      <c r="A25" s="408" t="s">
        <v>2936</v>
      </c>
      <c r="B25" s="408"/>
      <c r="C25" s="408"/>
      <c r="D25" s="408"/>
      <c r="E25" s="408"/>
      <c r="F25" s="408"/>
      <c r="G25" s="15">
        <v>17</v>
      </c>
      <c r="H25" s="19"/>
      <c r="I25" s="121">
        <f>I19+I20</f>
        <v>6555154</v>
      </c>
      <c r="J25" s="121">
        <f>J19+J20</f>
        <v>6620814</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v>-528216</v>
      </c>
      <c r="J27" s="122">
        <v>-99880</v>
      </c>
    </row>
    <row r="28" spans="1:10" s="2" customFormat="1" ht="13.5" customHeight="1">
      <c r="A28" s="459" t="s">
        <v>70</v>
      </c>
      <c r="B28" s="459"/>
      <c r="C28" s="459"/>
      <c r="D28" s="459"/>
      <c r="E28" s="459"/>
      <c r="F28" s="459"/>
      <c r="G28" s="17">
        <v>20</v>
      </c>
      <c r="H28" s="20"/>
      <c r="I28" s="123">
        <f>SUM(I25:I27)</f>
        <v>6026938</v>
      </c>
      <c r="J28" s="123">
        <f>SUM(J25:J27)</f>
        <v>6520934</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v>-1931975</v>
      </c>
      <c r="J37" s="73">
        <v>-9669424</v>
      </c>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-1931975</v>
      </c>
      <c r="J42" s="82">
        <f>SUM(J37:J41)</f>
        <v>-9669424</v>
      </c>
      <c r="L42" s="2" t="s">
        <v>1209</v>
      </c>
    </row>
    <row r="43" spans="1:10" s="2" customFormat="1" ht="13.5" customHeight="1">
      <c r="A43" s="459" t="s">
        <v>2923</v>
      </c>
      <c r="B43" s="459"/>
      <c r="C43" s="459"/>
      <c r="D43" s="459"/>
      <c r="E43" s="459"/>
      <c r="F43" s="459"/>
      <c r="G43" s="17">
        <v>34</v>
      </c>
      <c r="H43" s="20"/>
      <c r="I43" s="83">
        <f>I36+I42</f>
        <v>-1931975</v>
      </c>
      <c r="J43" s="83">
        <f>J36+J42</f>
        <v>-9669424</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v>1211817</v>
      </c>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1211817</v>
      </c>
      <c r="J49" s="82">
        <f>SUM(J45:J48)</f>
        <v>0</v>
      </c>
      <c r="L49" s="2" t="s">
        <v>2525</v>
      </c>
    </row>
    <row r="50" spans="1:12" s="2" customFormat="1" ht="24.75" customHeight="1">
      <c r="A50" s="413" t="s">
        <v>2562</v>
      </c>
      <c r="B50" s="413"/>
      <c r="C50" s="413"/>
      <c r="D50" s="413"/>
      <c r="E50" s="413"/>
      <c r="F50" s="413"/>
      <c r="G50" s="15">
        <v>40</v>
      </c>
      <c r="H50" s="19"/>
      <c r="I50" s="73">
        <v>-217343</v>
      </c>
      <c r="J50" s="73">
        <v>-302334</v>
      </c>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-217343</v>
      </c>
      <c r="J55" s="82">
        <f>SUM(J50:J54)</f>
        <v>-302334</v>
      </c>
      <c r="L55" s="2" t="s">
        <v>1209</v>
      </c>
    </row>
    <row r="56" spans="1:10" s="2" customFormat="1" ht="13.5" customHeight="1">
      <c r="A56" s="410" t="s">
        <v>209</v>
      </c>
      <c r="B56" s="410"/>
      <c r="C56" s="410"/>
      <c r="D56" s="410"/>
      <c r="E56" s="410"/>
      <c r="F56" s="410"/>
      <c r="G56" s="15">
        <v>46</v>
      </c>
      <c r="H56" s="19"/>
      <c r="I56" s="82">
        <f>I49+I55</f>
        <v>994474</v>
      </c>
      <c r="J56" s="82">
        <f>J49+J55</f>
        <v>-302334</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5089437</v>
      </c>
      <c r="J58" s="82">
        <f>J28+J43+J56+J57</f>
        <v>-3450824</v>
      </c>
    </row>
    <row r="59" spans="1:12" s="2" customFormat="1" ht="13.5" customHeight="1">
      <c r="A59" s="410" t="s">
        <v>2810</v>
      </c>
      <c r="B59" s="410"/>
      <c r="C59" s="410"/>
      <c r="D59" s="410"/>
      <c r="E59" s="410"/>
      <c r="F59" s="410"/>
      <c r="G59" s="15">
        <v>49</v>
      </c>
      <c r="H59" s="19"/>
      <c r="I59" s="73">
        <v>3158146</v>
      </c>
      <c r="J59" s="73">
        <v>8247583</v>
      </c>
      <c r="L59" s="2" t="s">
        <v>2525</v>
      </c>
    </row>
    <row r="60" spans="1:18" s="2" customFormat="1" ht="13.5" customHeight="1">
      <c r="A60" s="459" t="s">
        <v>2560</v>
      </c>
      <c r="B60" s="459"/>
      <c r="C60" s="459"/>
      <c r="D60" s="459"/>
      <c r="E60" s="459"/>
      <c r="F60" s="459"/>
      <c r="G60" s="17">
        <v>50</v>
      </c>
      <c r="H60" s="20"/>
      <c r="I60" s="83">
        <f>I59+I58</f>
        <v>8247583</v>
      </c>
      <c r="J60" s="83">
        <f>J59+J58</f>
        <v>4796759</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99740428762; KOMUNALAC POŽEGA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47" activePane="bottomLeft" state="frozen"/>
      <selection pane="topLeft" activeCell="A1" sqref="A1"/>
      <selection pane="bottomLeft" activeCell="W44" sqref="W44"/>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1</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1</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1</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99740428762; KOMUNALAC POŽEGA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v>15469000</v>
      </c>
      <c r="J10" s="21"/>
      <c r="K10" s="21"/>
      <c r="L10" s="21"/>
      <c r="M10" s="21"/>
      <c r="N10" s="21"/>
      <c r="O10" s="21">
        <v>90636</v>
      </c>
      <c r="P10" s="21">
        <v>134125</v>
      </c>
      <c r="Q10" s="21"/>
      <c r="R10" s="21"/>
      <c r="S10" s="21"/>
      <c r="T10" s="21"/>
      <c r="U10" s="21"/>
      <c r="V10" s="21">
        <v>11462942</v>
      </c>
      <c r="W10" s="21">
        <v>695143</v>
      </c>
      <c r="X10" s="202">
        <f>SUM(I10:L10)-M10+SUM(N10:W10)</f>
        <v>27851846</v>
      </c>
      <c r="Y10" s="21"/>
      <c r="Z10" s="202">
        <f>Y10+X10</f>
        <v>27851846</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15469000</v>
      </c>
      <c r="J13" s="202">
        <f aca="true" t="shared" si="2" ref="J13:W13">SUM(J10:J12)</f>
        <v>0</v>
      </c>
      <c r="K13" s="202">
        <f t="shared" si="2"/>
        <v>0</v>
      </c>
      <c r="L13" s="202">
        <f t="shared" si="2"/>
        <v>0</v>
      </c>
      <c r="M13" s="202">
        <f t="shared" si="2"/>
        <v>0</v>
      </c>
      <c r="N13" s="202">
        <f t="shared" si="2"/>
        <v>0</v>
      </c>
      <c r="O13" s="202">
        <f t="shared" si="2"/>
        <v>90636</v>
      </c>
      <c r="P13" s="202">
        <f t="shared" si="2"/>
        <v>134125</v>
      </c>
      <c r="Q13" s="202">
        <f t="shared" si="2"/>
        <v>0</v>
      </c>
      <c r="R13" s="202">
        <f t="shared" si="2"/>
        <v>0</v>
      </c>
      <c r="S13" s="202">
        <f t="shared" si="2"/>
        <v>0</v>
      </c>
      <c r="T13" s="202">
        <f>SUM(T10:T12)</f>
        <v>0</v>
      </c>
      <c r="U13" s="202">
        <f>SUM(U10:U12)</f>
        <v>0</v>
      </c>
      <c r="V13" s="202">
        <f t="shared" si="2"/>
        <v>11462942</v>
      </c>
      <c r="W13" s="202">
        <f t="shared" si="2"/>
        <v>695143</v>
      </c>
      <c r="X13" s="202">
        <f t="shared" si="0"/>
        <v>27851846</v>
      </c>
      <c r="Y13" s="202">
        <f>SUM(Y10:Y12)</f>
        <v>0</v>
      </c>
      <c r="Z13" s="202">
        <f t="shared" si="1"/>
        <v>27851846</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v>2107485</v>
      </c>
      <c r="X14" s="202">
        <f t="shared" si="0"/>
        <v>2107485</v>
      </c>
      <c r="Y14" s="21"/>
      <c r="Z14" s="202">
        <f t="shared" si="1"/>
        <v>2107485</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v>695143</v>
      </c>
      <c r="W31" s="21">
        <v>-695143</v>
      </c>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15469000</v>
      </c>
      <c r="J33" s="201">
        <f aca="true" t="shared" si="3" ref="J33:W33">SUM(J13:J32)</f>
        <v>0</v>
      </c>
      <c r="K33" s="201">
        <f t="shared" si="3"/>
        <v>0</v>
      </c>
      <c r="L33" s="201">
        <f t="shared" si="3"/>
        <v>0</v>
      </c>
      <c r="M33" s="201">
        <f t="shared" si="3"/>
        <v>0</v>
      </c>
      <c r="N33" s="201">
        <f t="shared" si="3"/>
        <v>0</v>
      </c>
      <c r="O33" s="201">
        <f t="shared" si="3"/>
        <v>90636</v>
      </c>
      <c r="P33" s="201">
        <f t="shared" si="3"/>
        <v>134125</v>
      </c>
      <c r="Q33" s="201">
        <f t="shared" si="3"/>
        <v>0</v>
      </c>
      <c r="R33" s="201">
        <f t="shared" si="3"/>
        <v>0</v>
      </c>
      <c r="S33" s="201">
        <f t="shared" si="3"/>
        <v>0</v>
      </c>
      <c r="T33" s="201">
        <f>SUM(T13:T32)</f>
        <v>0</v>
      </c>
      <c r="U33" s="201">
        <f>SUM(U13:U32)</f>
        <v>0</v>
      </c>
      <c r="V33" s="201">
        <f t="shared" si="3"/>
        <v>12158085</v>
      </c>
      <c r="W33" s="201">
        <f t="shared" si="3"/>
        <v>2107485</v>
      </c>
      <c r="X33" s="201">
        <f t="shared" si="0"/>
        <v>29959331</v>
      </c>
      <c r="Y33" s="201">
        <f>SUM(Y13:Y32)</f>
        <v>0</v>
      </c>
      <c r="Z33" s="201">
        <f t="shared" si="1"/>
        <v>29959331</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v>15469000</v>
      </c>
      <c r="J39" s="21"/>
      <c r="K39" s="21"/>
      <c r="L39" s="21"/>
      <c r="M39" s="21"/>
      <c r="N39" s="21"/>
      <c r="O39" s="21">
        <v>90636</v>
      </c>
      <c r="P39" s="21">
        <v>134125</v>
      </c>
      <c r="Q39" s="21"/>
      <c r="R39" s="21"/>
      <c r="S39" s="21"/>
      <c r="T39" s="21"/>
      <c r="U39" s="21"/>
      <c r="V39" s="21">
        <v>12158085</v>
      </c>
      <c r="W39" s="21">
        <v>2107485</v>
      </c>
      <c r="X39" s="202">
        <f aca="true" t="shared" si="10" ref="X39:X62">SUM(I39:L39)-M39+SUM(N39:W39)</f>
        <v>29959331</v>
      </c>
      <c r="Y39" s="21"/>
      <c r="Z39" s="202">
        <f t="shared" si="1"/>
        <v>29959331</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15469000</v>
      </c>
      <c r="J42" s="202">
        <f t="shared" si="11"/>
        <v>0</v>
      </c>
      <c r="K42" s="202">
        <f t="shared" si="11"/>
        <v>0</v>
      </c>
      <c r="L42" s="202">
        <f t="shared" si="11"/>
        <v>0</v>
      </c>
      <c r="M42" s="202">
        <f t="shared" si="11"/>
        <v>0</v>
      </c>
      <c r="N42" s="202">
        <f t="shared" si="11"/>
        <v>0</v>
      </c>
      <c r="O42" s="202">
        <f t="shared" si="11"/>
        <v>90636</v>
      </c>
      <c r="P42" s="202">
        <f t="shared" si="11"/>
        <v>134125</v>
      </c>
      <c r="Q42" s="202">
        <f t="shared" si="11"/>
        <v>0</v>
      </c>
      <c r="R42" s="202">
        <f t="shared" si="11"/>
        <v>0</v>
      </c>
      <c r="S42" s="202">
        <f t="shared" si="11"/>
        <v>0</v>
      </c>
      <c r="T42" s="202">
        <f>SUM(T39:T41)</f>
        <v>0</v>
      </c>
      <c r="U42" s="202">
        <f>SUM(U39:U41)</f>
        <v>0</v>
      </c>
      <c r="V42" s="202">
        <f t="shared" si="11"/>
        <v>12158085</v>
      </c>
      <c r="W42" s="202">
        <f t="shared" si="11"/>
        <v>2107485</v>
      </c>
      <c r="X42" s="202">
        <f t="shared" si="10"/>
        <v>29959331</v>
      </c>
      <c r="Y42" s="202">
        <f>SUM(Y39:Y41)</f>
        <v>0</v>
      </c>
      <c r="Z42" s="202">
        <f>Y42+X42</f>
        <v>29959331</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v>196688</v>
      </c>
      <c r="X43" s="202">
        <f t="shared" si="10"/>
        <v>196688</v>
      </c>
      <c r="Y43" s="21"/>
      <c r="Z43" s="202">
        <f t="shared" si="1"/>
        <v>196688</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v>2107485</v>
      </c>
      <c r="W60" s="21">
        <v>-2107485</v>
      </c>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15469000</v>
      </c>
      <c r="J62" s="201">
        <f t="shared" si="12"/>
        <v>0</v>
      </c>
      <c r="K62" s="201">
        <f t="shared" si="12"/>
        <v>0</v>
      </c>
      <c r="L62" s="201">
        <f t="shared" si="12"/>
        <v>0</v>
      </c>
      <c r="M62" s="201">
        <f t="shared" si="12"/>
        <v>0</v>
      </c>
      <c r="N62" s="201">
        <f t="shared" si="12"/>
        <v>0</v>
      </c>
      <c r="O62" s="201">
        <f t="shared" si="12"/>
        <v>90636</v>
      </c>
      <c r="P62" s="201">
        <f t="shared" si="12"/>
        <v>134125</v>
      </c>
      <c r="Q62" s="201">
        <f t="shared" si="12"/>
        <v>0</v>
      </c>
      <c r="R62" s="201">
        <f t="shared" si="12"/>
        <v>0</v>
      </c>
      <c r="S62" s="201">
        <f t="shared" si="12"/>
        <v>0</v>
      </c>
      <c r="T62" s="201">
        <f>SUM(T42:T61)</f>
        <v>0</v>
      </c>
      <c r="U62" s="201">
        <f>SUM(U42:U61)</f>
        <v>0</v>
      </c>
      <c r="V62" s="201">
        <f t="shared" si="12"/>
        <v>14265570</v>
      </c>
      <c r="W62" s="201">
        <f t="shared" si="12"/>
        <v>196688</v>
      </c>
      <c r="X62" s="201">
        <f t="shared" si="10"/>
        <v>30156019</v>
      </c>
      <c r="Y62" s="201">
        <f>SUM(Y42:Y61)</f>
        <v>0</v>
      </c>
      <c r="Z62" s="201">
        <f t="shared" si="1"/>
        <v>30156019</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600" verticalDpi="6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Lidija Galic</cp:lastModifiedBy>
  <cp:lastPrinted>2023-05-24T10:37:55Z</cp:lastPrinted>
  <dcterms:created xsi:type="dcterms:W3CDTF">2008-10-17T11:51:54Z</dcterms:created>
  <dcterms:modified xsi:type="dcterms:W3CDTF">2023-07-10T05:53:31Z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